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 here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Your paths" sheetId="3" state="visible" r:id="rId3"/>
    <sheet xmlns:r="http://schemas.openxmlformats.org/officeDocument/2006/relationships" name="Monthly model" sheetId="4" state="visible" r:id="rId4"/>
    <sheet xmlns:r="http://schemas.openxmlformats.org/officeDocument/2006/relationships" name="Canada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$#,##0;($#,##0);$0"/>
    <numFmt numFmtId="165" formatCode="#,##0;(#,##0);0"/>
    <numFmt numFmtId="166" formatCode="0.0%"/>
    <numFmt numFmtId="167" formatCode="0.000%"/>
  </numFmts>
  <fonts count="11">
    <font>
      <name val="Carlito"/>
      <sz val="11"/>
    </font>
    <font>
      <name val="Arial"/>
      <color rgb="FF0F1A20"/>
      <sz val="11"/>
    </font>
    <font>
      <name val="Arial"/>
      <b val="1"/>
      <color rgb="FF8A2E26"/>
      <sz val="17"/>
    </font>
    <font>
      <name val="Arial"/>
      <color rgb="FF6D6F72"/>
      <sz val="9"/>
    </font>
    <font>
      <name val="Arial"/>
      <color rgb="FF6D6F72"/>
      <sz val="10"/>
    </font>
    <font>
      <name val="Arial"/>
      <b val="1"/>
      <color rgb="FFF2EFE6"/>
      <sz val="11"/>
    </font>
    <font>
      <name val="Arial"/>
      <b val="1"/>
      <color rgb="FFF2EFE6"/>
      <sz val="10"/>
    </font>
    <font>
      <name val="Arial"/>
      <color rgb="FF24394D"/>
      <sz val="11"/>
    </font>
    <font>
      <name val="Arial"/>
      <color rgb="FF6D6F72"/>
      <sz val="8"/>
    </font>
    <font>
      <name val="Arial"/>
      <color rgb="FF24394D"/>
      <sz val="10"/>
    </font>
    <font>
      <name val="Arial"/>
      <b val="1"/>
      <color rgb="FF8A2E26"/>
      <sz val="11"/>
    </font>
  </fonts>
  <fills count="6">
    <fill>
      <patternFill/>
    </fill>
    <fill>
      <patternFill patternType="gray125"/>
    </fill>
    <fill>
      <patternFill patternType="solid">
        <fgColor rgb="FFF2EFE6"/>
      </patternFill>
    </fill>
    <fill>
      <patternFill patternType="solid">
        <fgColor rgb="FF24394D"/>
      </patternFill>
    </fill>
    <fill>
      <patternFill patternType="solid">
        <fgColor rgb="FF0F1A20"/>
      </patternFill>
    </fill>
    <fill>
      <patternFill patternType="solid">
        <fgColor rgb="FFFBF1D5"/>
      </patternFill>
    </fill>
  </fills>
  <borders count="1">
    <border/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5" fillId="3" borderId="0" applyAlignment="1" pivotButton="0" quotePrefix="0" xfId="0">
      <alignment horizontal="center" vertical="center"/>
    </xf>
    <xf numFmtId="0" fontId="1" fillId="4" borderId="0" applyAlignment="1" pivotButton="0" quotePrefix="0" xfId="0">
      <alignment vertical="center" wrapText="1"/>
    </xf>
    <xf numFmtId="0" fontId="6" fillId="4" borderId="0" applyAlignment="1" pivotButton="0" quotePrefix="0" xfId="0">
      <alignment vertical="center" wrapText="1"/>
    </xf>
    <xf numFmtId="49" fontId="1" fillId="2" borderId="0" applyAlignment="1" pivotButton="0" quotePrefix="0" xfId="0">
      <alignment vertical="center"/>
    </xf>
    <xf numFmtId="164" fontId="1" fillId="2" borderId="0" applyAlignment="1" pivotButton="0" quotePrefix="0" xfId="0">
      <alignment vertical="center"/>
    </xf>
    <xf numFmtId="49" fontId="1" fillId="2" borderId="0" applyAlignment="1" pivotButton="0" quotePrefix="0" xfId="0">
      <alignment vertical="center" wrapText="1"/>
    </xf>
    <xf numFmtId="0" fontId="1" fillId="5" borderId="0" applyAlignment="1" pivotButton="0" quotePrefix="0" xfId="0">
      <alignment vertical="center"/>
    </xf>
    <xf numFmtId="0" fontId="7" fillId="5" borderId="0" applyAlignment="1" pivotButton="0" quotePrefix="0" xfId="0">
      <alignment vertical="center"/>
    </xf>
    <xf numFmtId="165" fontId="7" fillId="5" borderId="0" applyAlignment="1" pivotButton="0" quotePrefix="0" xfId="0">
      <alignment vertical="center"/>
    </xf>
    <xf numFmtId="164" fontId="7" fillId="5" borderId="0" applyAlignment="1" pivotButton="0" quotePrefix="0" xfId="0">
      <alignment vertical="center"/>
    </xf>
    <xf numFmtId="166" fontId="7" fillId="5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167" fontId="1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8" fillId="2" borderId="0" applyAlignment="1" pivotButton="0" quotePrefix="0" xfId="0">
      <alignment vertical="center"/>
    </xf>
    <xf numFmtId="0" fontId="8" fillId="2" borderId="0" applyAlignment="1" pivotButton="0" quotePrefix="0" xfId="0">
      <alignment vertical="center" wrapText="1"/>
    </xf>
    <xf numFmtId="0" fontId="9" fillId="2" borderId="0" applyAlignment="1" pivotButton="0" quotePrefix="0" xfId="0">
      <alignment vertical="center"/>
    </xf>
    <xf numFmtId="0" fontId="9" fillId="2" borderId="0" applyAlignment="1" pivotButton="0" quotePrefix="0" xfId="0">
      <alignment vertical="center" wrapText="1"/>
    </xf>
    <xf numFmtId="0" fontId="7" fillId="2" borderId="0" applyAlignment="1" pivotButton="0" quotePrefix="0" xfId="0">
      <alignment vertical="center"/>
    </xf>
    <xf numFmtId="0" fontId="1" fillId="2" borderId="0" applyAlignment="1" pivotButton="0" quotePrefix="0" xfId="0">
      <alignment wrapText="1"/>
    </xf>
    <xf numFmtId="0" fontId="10" fillId="2" borderId="0" applyAlignment="1" pivotButton="0" quotePrefix="0" xfId="0">
      <alignment vertical="center" wrapText="1"/>
    </xf>
    <xf numFmtId="0" fontId="7" fillId="5" borderId="0" applyAlignment="1" pivotButton="0" quotePrefix="0" xfId="0">
      <alignment vertical="center" wrapText="1"/>
    </xf>
    <xf numFmtId="49" fontId="1" fillId="2" borderId="0" applyAlignment="1" pivotButton="0" quotePrefix="0" xfId="0">
      <alignment vertical="center"/>
    </xf>
    <xf numFmtId="164" fontId="1" fillId="2" borderId="0" applyAlignment="1" pivotButton="0" quotePrefix="0" xfId="0">
      <alignment vertical="center"/>
    </xf>
    <xf numFmtId="49" fontId="1" fillId="2" borderId="0" applyAlignment="1" pivotButton="0" quotePrefix="0" xfId="0">
      <alignment vertical="center" wrapText="1"/>
    </xf>
    <xf numFmtId="165" fontId="7" fillId="5" borderId="0" applyAlignment="1" pivotButton="0" quotePrefix="0" xfId="0">
      <alignment vertical="center"/>
    </xf>
    <xf numFmtId="164" fontId="7" fillId="5" borderId="0" applyAlignment="1" pivotButton="0" quotePrefix="0" xfId="0">
      <alignment vertical="center"/>
    </xf>
    <xf numFmtId="166" fontId="7" fillId="5" borderId="0" applyAlignment="1" pivotButton="0" quotePrefix="0" xfId="0">
      <alignment vertical="center"/>
    </xf>
    <xf numFmtId="166" fontId="1" fillId="2" borderId="0" applyAlignment="1" pivotButton="0" quotePrefix="0" xfId="0">
      <alignment vertical="center"/>
    </xf>
    <xf numFmtId="167" fontId="1" fillId="2" borderId="0" applyAlignment="1" pivotButton="0" quotePrefix="0" xfId="0">
      <alignment vertical="center"/>
    </xf>
  </cellXfs>
  <cellStyles count="1">
    <cellStyle name="Normal" xfId="0"/>
  </cellStyles>
  <dxfs count="7">
    <dxf>
      <font>
        <b val="1"/>
        <color rgb="FF8A2E26"/>
      </font>
      <fill>
        <patternFill patternType="solid">
          <bgColor rgb="FFF4DCD6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777777"/>
      </font>
      <fill>
        <patternFill patternType="solid">
          <bgColor rgb="FFE7E5DF"/>
        </patternFill>
      </fill>
    </dxf>
    <dxf>
      <font>
        <color rgb="FF8A2E26"/>
      </font>
      <fill>
        <patternFill patternType="solid">
          <bgColor rgb="FFF4DCD6"/>
        </patternFill>
      </fill>
    </dxf>
    <dxf>
      <font>
        <color rgb="FF8A2E26"/>
      </font>
      <fill>
        <patternFill patternType="solid">
          <bgColor rgb="FFF4DCD6"/>
        </patternFill>
      </fill>
    </dxf>
    <dxf>
      <font>
        <color rgb="FF8A2E26"/>
      </font>
      <fill>
        <patternFill patternType="solid">
          <bgColor rgb="FFF4DC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<Relationships xmlns="http://schemas.openxmlformats.org/package/2006/relationships"><Relationship Type="http://schemas.openxmlformats.org/officeDocument/2006/relationships/hyperlink" Target="https://www2.gov.bc.ca/gov/content/housing-tenancy/residential-tenancies" TargetMode="External" Id="rId1"/><Relationship Type="http://schemas.openxmlformats.org/officeDocument/2006/relationships/hyperlink" Target="https://www.alberta.ca/residential-tenancies" TargetMode="External" Id="rId2"/><Relationship Type="http://schemas.openxmlformats.org/officeDocument/2006/relationships/hyperlink" Target="https://www.saskatchewan.ca/residents/housing-and-renting/renting-and-leasing" TargetMode="External" Id="rId3"/><Relationship Type="http://schemas.openxmlformats.org/officeDocument/2006/relationships/hyperlink" Target="https://www.gov.mb.ca/cca/rtb/" TargetMode="External" Id="rId4"/><Relationship Type="http://schemas.openxmlformats.org/officeDocument/2006/relationships/hyperlink" Target="https://tribunalsontario.ca/ltb/" TargetMode="External" Id="rId5"/><Relationship Type="http://schemas.openxmlformats.org/officeDocument/2006/relationships/hyperlink" Target="https://www.tal.gouv.qc.ca/en" TargetMode="External" Id="rId6"/><Relationship Type="http://schemas.openxmlformats.org/officeDocument/2006/relationships/hyperlink" Target="https://www.gnb.ca/en/topic/family-home-community/housing-property/lease.html" TargetMode="External" Id="rId7"/><Relationship Type="http://schemas.openxmlformats.org/officeDocument/2006/relationships/hyperlink" Target="https://novascotia.ca/residential-tenancies-tenants-and-landlords/" TargetMode="External" Id="rId8"/><Relationship Type="http://schemas.openxmlformats.org/officeDocument/2006/relationships/hyperlink" Target="https://peirentaloffice.ca/" TargetMode="External" Id="rId9"/><Relationship Type="http://schemas.openxmlformats.org/officeDocument/2006/relationships/hyperlink" Target="https://www.gov.nl.ca/gs/landlord-tenant/" TargetMode="External" Id="rId10"/><Relationship Type="http://schemas.openxmlformats.org/officeDocument/2006/relationships/hyperlink" Target="https://yukon.ca/en/places/residential-tenancies-office-location-and-hours" TargetMode="External" Id="rId11"/><Relationship Type="http://schemas.openxmlformats.org/officeDocument/2006/relationships/hyperlink" Target="https://www.justice.gov.nt.ca/en/boards-agencies/rental-office/" TargetMode="External" Id="rId12"/><Relationship Type="http://schemas.openxmlformats.org/officeDocument/2006/relationships/hyperlink" Target="https://www.nunavutlegislation.ca/en/consolidated-law/residential-tenancies-act-official-consolidation" TargetMode="External" Id="rId13"/><Relationship Type="http://schemas.openxmlformats.org/officeDocument/2006/relationships/hyperlink" Target="https://www.canada.ca/en/financial-consumer-agency/services/buying-home.html" TargetMode="External" Id="rId14"/><Relationship Type="http://schemas.openxmlformats.org/officeDocument/2006/relationships/hyperlink" Target="https://www.canada.ca/en/revenue-agency/services/tax/individuals/topics/rrsps-related-plans/what-home-buyers-plan/participate-home-buyers-plan.html" TargetMode="External" Id="rId15"/><Relationship Type="http://schemas.openxmlformats.org/officeDocument/2006/relationships/hyperlink" Target="https://www.canada.ca/en/revenue-agency/services/tax/individuals/topics/first-home-savings-account.html" TargetMode="External" Id="rId16"/><Relationship Type="http://schemas.openxmlformats.org/officeDocument/2006/relationships/hyperlink" Target="https://www.cmhc-schl.gc.ca/consumers/renting-a-home/i-am-renting/rent-increases" TargetMode="External" Id="rId17"/></Relationships>
</file>

<file path=xl/worksheets/sheet1.xml><?xml version="1.0" encoding="utf-8"?>
<worksheet xmlns="http://schemas.openxmlformats.org/spreadsheetml/2006/main">
  <sheetPr>
    <tabColor rgb="FF8A2E26"/>
    <outlinePr summaryBelow="1" summaryRight="1"/>
    <pageSetUpPr/>
  </sheetPr>
  <dimension ref="A1:F51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Five Years From Now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4" customHeight="1">
      <c r="A5" s="3" t="n"/>
      <c r="B5" s="7" t="inlineStr">
        <is>
          <t>A short guide before you start. The examples are fictional. Replace them with your own estimates; you do not need perfect numbers.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5" customHeight="1">
      <c r="A7" s="3" t="n"/>
      <c r="B7" s="12" t="inlineStr">
        <is>
          <t>1. START WITH THE BASICS</t>
        </is>
      </c>
    </row>
    <row r="8" ht="62" customHeight="1">
      <c r="A8" s="3" t="n"/>
      <c r="B8" s="4" t="inlineStr">
        <is>
          <t>Open the Your paths tab. Fill in shared setup once, using whole-household amounts. Name your paths and choose Rent, Buy or Rent then buy. Renters fill rent and moving costs; buyers also fill the purchase rows.</t>
        </is>
      </c>
    </row>
    <row r="9" ht="27" customHeight="1">
      <c r="A9" s="3" t="n"/>
      <c r="B9" s="3" t="n"/>
      <c r="C9" s="3" t="n"/>
      <c r="D9" s="3" t="n"/>
      <c r="E9" s="3" t="n"/>
      <c r="F9" s="3" t="n"/>
    </row>
    <row r="10" ht="25" customHeight="1">
      <c r="A10" s="3" t="n"/>
      <c r="B10" s="12" t="inlineStr">
        <is>
          <t>2. ONLY ADD WHAT MATTERS</t>
        </is>
      </c>
    </row>
    <row r="11" ht="60" customHeight="1">
      <c r="A11" s="3" t="n"/>
      <c r="B11" s="4" t="inlineStr">
        <is>
          <t>Keep the example assumptions only if they suit your comparison. Review return rates and cost increases before using the result. Extra funding and exit-cost details are optional but can matter.</t>
        </is>
      </c>
    </row>
    <row r="12" ht="27" customHeight="1">
      <c r="A12" s="3" t="n"/>
      <c r="B12" s="3" t="n"/>
      <c r="C12" s="3" t="n"/>
      <c r="D12" s="3" t="n"/>
      <c r="E12" s="3" t="n"/>
      <c r="F12" s="3" t="n"/>
    </row>
    <row r="13" ht="25" customHeight="1">
      <c r="A13" s="3" t="n"/>
      <c r="B13" s="12" t="inlineStr">
        <is>
          <t>3. READ THE TRADE-OFF</t>
        </is>
      </c>
    </row>
    <row r="14" ht="62" customHeight="1">
      <c r="A14" s="3" t="n"/>
      <c r="B14" s="4" t="inlineStr">
        <is>
          <t>Open Results. More net worth does not automatically mean a better life. Compare free time, support nearby, work options and the flexibility to change your plans.</t>
        </is>
      </c>
    </row>
    <row r="15" ht="27" customHeight="1">
      <c r="A15" s="3" t="n"/>
      <c r="B15" s="3" t="n"/>
      <c r="C15" s="3" t="n"/>
      <c r="D15" s="3" t="n"/>
      <c r="E15" s="3" t="n"/>
      <c r="F15" s="3" t="n"/>
    </row>
    <row r="16" ht="25" customHeight="1">
      <c r="A16" s="3" t="n"/>
      <c r="B16" s="12" t="inlineStr">
        <is>
          <t>WHAT YOU CAN CHANGE</t>
        </is>
      </c>
    </row>
    <row r="17" ht="48" customHeight="1">
      <c r="A17" s="3" t="n"/>
      <c r="B17" s="4" t="inlineStr">
        <is>
          <t>Amber cells are for your answers. Grey cells do not apply to the current selection. Other cells calculate automatically. Use the dropdown arrow where available.</t>
        </is>
      </c>
    </row>
    <row r="18" ht="48" customHeight="1">
      <c r="A18" s="3" t="n"/>
      <c r="B18" s="4" t="inlineStr">
        <is>
          <t>Enter 0 when a cost really is zero. A blank is not always zero: important missing inputs leave results blank or show a prompt. Optional blank costs are treated as zero.</t>
        </is>
      </c>
    </row>
    <row r="19" ht="48" customHeight="1">
      <c r="A19" s="3" t="n"/>
      <c r="B19" s="4" t="inlineStr">
        <is>
          <t>The + controls beside row numbers expand optional details or calculation steps. You can leave them closed for a first pass. Save a separate copy before exploring another decision.</t>
        </is>
      </c>
    </row>
    <row r="20" ht="27" customHeight="1">
      <c r="A20" s="3" t="n"/>
      <c r="B20" s="3" t="n"/>
      <c r="C20" s="3" t="n"/>
      <c r="D20" s="3" t="n"/>
      <c r="E20" s="3" t="n"/>
      <c r="F20" s="3" t="n"/>
    </row>
    <row r="21" ht="25" customHeight="1">
      <c r="A21" s="3" t="n"/>
      <c r="B21" s="12" t="inlineStr">
        <is>
          <t>WHAT THE NUMBERS MEAN</t>
        </is>
      </c>
    </row>
    <row r="22" ht="27" customHeight="1">
      <c r="A22" s="3" t="n"/>
      <c r="B22" s="3" t="n"/>
      <c r="C22" s="3" t="n"/>
      <c r="D22" s="3" t="n"/>
      <c r="E22" s="3" t="n"/>
      <c r="F22" s="3" t="n"/>
    </row>
    <row r="23" ht="25" customHeight="1">
      <c r="A23" s="3" t="n"/>
      <c r="B23" s="30" t="inlineStr">
        <is>
          <t>Cash and investments</t>
        </is>
      </c>
    </row>
    <row r="24" ht="47" customHeight="1">
      <c r="A24" s="3" t="n"/>
      <c r="B24" s="4" t="inlineStr">
        <is>
          <t>Cash includes money left over each month. Investments grow at your chosen return and include planned contributions.</t>
        </is>
      </c>
    </row>
    <row r="25" ht="27" customHeight="1">
      <c r="A25" s="3" t="n"/>
      <c r="B25" s="3" t="n"/>
      <c r="C25" s="3" t="n"/>
      <c r="D25" s="3" t="n"/>
      <c r="E25" s="3" t="n"/>
      <c r="F25" s="3" t="n"/>
    </row>
    <row r="26" ht="25" customHeight="1">
      <c r="A26" s="3" t="n"/>
      <c r="B26" s="30" t="inlineStr">
        <is>
          <t>Home equity and net worth</t>
        </is>
      </c>
    </row>
    <row r="27" ht="47" customHeight="1">
      <c r="A27" s="3" t="n"/>
      <c r="B27" s="4" t="inlineStr">
        <is>
          <t>Equity is home value minus the mortgage. Net worth adds cash, investments and equity. The mortgage is subtracted only once.</t>
        </is>
      </c>
    </row>
    <row r="28" ht="27" customHeight="1">
      <c r="A28" s="3" t="n"/>
      <c r="B28" s="3" t="n"/>
      <c r="C28" s="3" t="n"/>
      <c r="D28" s="3" t="n"/>
      <c r="E28" s="3" t="n"/>
      <c r="F28" s="3" t="n"/>
    </row>
    <row r="29" ht="25" customHeight="1">
      <c r="A29" s="3" t="n"/>
      <c r="B29" s="30" t="inlineStr">
        <is>
          <t>Monthly flexibility</t>
        </is>
      </c>
    </row>
    <row r="30" ht="47" customHeight="1">
      <c r="A30" s="3" t="n"/>
      <c r="B30" s="4" t="inlineStr">
        <is>
          <t>Take-home income left after housing, other expenses and planned investing. The model saves it as cash; spending it lowers the cash result.</t>
        </is>
      </c>
    </row>
    <row r="31" ht="27" customHeight="1">
      <c r="A31" s="3" t="n"/>
      <c r="B31" s="3" t="n"/>
      <c r="C31" s="3" t="n"/>
      <c r="D31" s="3" t="n"/>
      <c r="E31" s="3" t="n"/>
      <c r="F31" s="3" t="n"/>
    </row>
    <row r="32" ht="25" customHeight="1">
      <c r="A32" s="3" t="n"/>
      <c r="B32" s="30" t="inlineStr">
        <is>
          <t>Cost to leave and funding gap</t>
        </is>
      </c>
    </row>
    <row r="33" ht="47" customHeight="1">
      <c r="A33" s="3" t="n"/>
      <c r="B33" s="4" t="inlineStr">
        <is>
          <t>Leaving costs are your estimates of selling, moving and penalties. A funding gap means a path needs more money than the model provides.</t>
        </is>
      </c>
    </row>
    <row r="34" ht="27" customHeight="1">
      <c r="A34" s="3" t="n"/>
      <c r="B34" s="3" t="n"/>
      <c r="C34" s="3" t="n"/>
      <c r="D34" s="3" t="n"/>
      <c r="E34" s="3" t="n"/>
      <c r="F34" s="3" t="n"/>
    </row>
    <row r="35" ht="27" customHeight="1">
      <c r="A35" s="3" t="n"/>
      <c r="B35" s="3" t="n"/>
      <c r="C35" s="3" t="n"/>
      <c r="D35" s="3" t="n"/>
      <c r="E35" s="3" t="n"/>
      <c r="F35" s="3" t="n"/>
    </row>
    <row r="36" ht="25" customHeight="1">
      <c r="A36" s="3" t="n"/>
      <c r="B36" s="12" t="inlineStr">
        <is>
          <t>A QUICK EXAMPLE</t>
        </is>
      </c>
    </row>
    <row r="37" ht="56" customHeight="1">
      <c r="A37" s="3" t="n"/>
      <c r="B37" s="4" t="inlineStr">
        <is>
          <t>An extra $500 of monthly flexibility is $6,000 over a year. It could be saved or spent, but it cannot be counted as both.</t>
        </is>
      </c>
    </row>
    <row r="38" ht="27" customHeight="1">
      <c r="A38" s="3" t="n"/>
      <c r="B38" s="3" t="n"/>
      <c r="C38" s="3" t="n"/>
      <c r="D38" s="3" t="n"/>
      <c r="E38" s="3" t="n"/>
      <c r="F38" s="3" t="n"/>
    </row>
    <row r="39" ht="25" customHeight="1">
      <c r="A39" s="3" t="n"/>
      <c r="B39" s="12" t="inlineStr">
        <is>
          <t>KEEP LIFE IN THE PICTURE</t>
        </is>
      </c>
    </row>
    <row r="40" ht="27" customHeight="1">
      <c r="A40" s="3" t="n"/>
      <c r="B40" s="3" t="n"/>
      <c r="C40" s="3" t="n"/>
      <c r="D40" s="3" t="n"/>
      <c r="E40" s="3" t="n"/>
      <c r="F40" s="3" t="n"/>
    </row>
    <row r="41" ht="32" customHeight="1">
      <c r="A41" s="3" t="n"/>
      <c r="B41" s="4" t="inlineStr">
        <is>
          <t>What does an ordinary week look like on this path?</t>
        </is>
      </c>
    </row>
    <row r="42" ht="32" customHeight="1">
      <c r="A42" s="3" t="n"/>
      <c r="B42" s="4" t="inlineStr">
        <is>
          <t>Who or what would be closer, or farther away?</t>
        </is>
      </c>
    </row>
    <row r="43" ht="32" customHeight="1">
      <c r="A43" s="3" t="n"/>
      <c r="B43" s="4" t="inlineStr">
        <is>
          <t>How much freedom would I have to change plans?</t>
        </is>
      </c>
    </row>
    <row r="44" ht="27" customHeight="1">
      <c r="A44" s="3" t="n"/>
      <c r="B44" s="3" t="n"/>
      <c r="C44" s="3" t="n"/>
      <c r="D44" s="3" t="n"/>
      <c r="E44" s="3" t="n"/>
      <c r="F44" s="3" t="n"/>
    </row>
    <row r="45" ht="25" customHeight="1">
      <c r="A45" s="3" t="n"/>
      <c r="B45" s="12" t="inlineStr">
        <is>
          <t>HOW TO READ A COMPARISON</t>
        </is>
      </c>
    </row>
    <row r="46" ht="56" customHeight="1">
      <c r="A46" s="3" t="n"/>
      <c r="B46" s="4" t="inlineStr">
        <is>
          <t>From and To are path numbers, not rankings. A positive difference means the To path has more of that measure. Read the row label: more leaving cost is different from more monthly flexibility.</t>
        </is>
      </c>
    </row>
    <row r="47" ht="27" customHeight="1">
      <c r="A47" s="3" t="n"/>
      <c r="B47" s="3" t="n"/>
      <c r="C47" s="3" t="n"/>
      <c r="D47" s="3" t="n"/>
      <c r="E47" s="3" t="n"/>
      <c r="F47" s="3" t="n"/>
    </row>
    <row r="48" ht="27" customHeight="1">
      <c r="A48" s="3" t="n"/>
      <c r="B48" s="3" t="n"/>
      <c r="C48" s="3" t="n"/>
      <c r="D48" s="3" t="n"/>
      <c r="E48" s="3" t="n"/>
      <c r="F48" s="3" t="n"/>
    </row>
    <row r="49" ht="48" customHeight="1">
      <c r="A49" s="3" t="n"/>
      <c r="B49" s="7" t="inlineStr">
        <is>
          <t>All money is in Canadian dollars. The Canada tab links to current official guidance. Estimates help you compare; they do not decide which home or path is right for you.</t>
        </is>
      </c>
    </row>
    <row r="50" ht="27" customHeight="1">
      <c r="A50" s="3" t="n"/>
      <c r="B50" s="3" t="n"/>
      <c r="C50" s="3" t="n"/>
      <c r="D50" s="3" t="n"/>
      <c r="E50" s="3" t="n"/>
      <c r="F50" s="3" t="n"/>
    </row>
    <row r="51" ht="27" customHeight="1">
      <c r="A51" s="3" t="n"/>
      <c r="B51" s="3" t="n"/>
      <c r="C51" s="3" t="n"/>
      <c r="D51" s="3" t="n"/>
      <c r="E51" s="3" t="n"/>
      <c r="F51" s="3" t="n"/>
    </row>
  </sheetData>
  <mergeCells count="31">
    <mergeCell ref="B7:F7"/>
    <mergeCell ref="B16:F16"/>
    <mergeCell ref="B3:F3"/>
    <mergeCell ref="B46:F46"/>
    <mergeCell ref="B18:F18"/>
    <mergeCell ref="B27:F27"/>
    <mergeCell ref="B21:F21"/>
    <mergeCell ref="B43:F43"/>
    <mergeCell ref="B39:F39"/>
    <mergeCell ref="B2:F2"/>
    <mergeCell ref="B11:F11"/>
    <mergeCell ref="B42:F42"/>
    <mergeCell ref="B23:F23"/>
    <mergeCell ref="B14:F14"/>
    <mergeCell ref="B8:F8"/>
    <mergeCell ref="B17:F17"/>
    <mergeCell ref="B13:F13"/>
    <mergeCell ref="B29:F29"/>
    <mergeCell ref="B10:F10"/>
    <mergeCell ref="B19:F19"/>
    <mergeCell ref="B37:F37"/>
    <mergeCell ref="B49:F49"/>
    <mergeCell ref="B30:F30"/>
    <mergeCell ref="B24:F24"/>
    <mergeCell ref="B33:F33"/>
    <mergeCell ref="B5:F5"/>
    <mergeCell ref="B45:F45"/>
    <mergeCell ref="B36:F36"/>
    <mergeCell ref="B32:F32"/>
    <mergeCell ref="B26:F26"/>
    <mergeCell ref="B41:F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8A2E26"/>
    <outlinePr summaryBelow="1" summaryRight="1"/>
    <pageSetUpPr/>
  </sheetPr>
  <dimension ref="A1:F64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Five Years From Now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8" customHeight="1">
      <c r="A5" s="3" t="n"/>
      <c r="B5" s="7" t="inlineStr">
        <is>
          <t>New here? Open Start here first. Then enter your answers on Your paths. These are fictional examples until you replace them.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7" customHeight="1">
      <c r="A7" s="3" t="n"/>
      <c r="B7" s="3" t="n"/>
      <c r="C7" s="10" t="inlineStr">
        <is>
          <t>Path 1</t>
        </is>
      </c>
      <c r="D7" s="10" t="inlineStr">
        <is>
          <t>Path 2</t>
        </is>
      </c>
      <c r="E7" s="10" t="inlineStr">
        <is>
          <t>Path 3</t>
        </is>
      </c>
      <c r="F7" s="3" t="n"/>
    </row>
    <row r="8" ht="25" customHeight="1">
      <c r="A8" s="3" t="n"/>
      <c r="B8" s="12" t="inlineStr">
        <is>
          <t>WHAT YOU TOLD US</t>
        </is>
      </c>
    </row>
    <row r="9" ht="27" customHeight="1">
      <c r="A9" s="3" t="n"/>
      <c r="B9" s="3" t="inlineStr">
        <is>
          <t>Your path</t>
        </is>
      </c>
      <c r="C9" s="32" t="str">
        <f>'Your paths'!C35</f>
        <v>Keep renting</v>
      </c>
      <c r="D9" s="32" t="str">
        <f>'Your paths'!D35</f>
        <v>Buy a condo</v>
      </c>
      <c r="E9" s="32" t="str">
        <f>'Your paths'!E35</f>
        <v>Move, then buy</v>
      </c>
      <c r="F9" s="3" t="n"/>
    </row>
    <row r="10" ht="27" customHeight="1">
      <c r="A10" s="3" t="n"/>
      <c r="B10" s="3" t="inlineStr">
        <is>
          <t>Housing plan</t>
        </is>
      </c>
      <c r="C10" s="32" t="str">
        <f>'Your paths'!C36</f>
        <v>Rent</v>
      </c>
      <c r="D10" s="32" t="str">
        <f>'Your paths'!D36</f>
        <v>Buy</v>
      </c>
      <c r="E10" s="32" t="str">
        <f>'Your paths'!E36</f>
        <v>Rent then buy</v>
      </c>
      <c r="F10" s="3" t="n"/>
    </row>
    <row r="11" ht="27" customHeight="1">
      <c r="A11" s="3" t="n"/>
      <c r="B11" s="3" t="n"/>
      <c r="C11" s="3" t="n"/>
      <c r="D11" s="3" t="n"/>
      <c r="E11" s="3" t="n"/>
      <c r="F11" s="3" t="n"/>
    </row>
    <row r="12" ht="25" customHeight="1">
      <c r="A12" s="3" t="n"/>
      <c r="B12" s="12" t="inlineStr">
        <is>
          <t>WHAT THAT ACTUALLY MEANS / YEAR FIVE</t>
        </is>
      </c>
    </row>
    <row r="13" ht="27" customHeight="1">
      <c r="A13" s="3" t="n"/>
      <c r="B13" s="3" t="inlineStr">
        <is>
          <t>Cash</t>
        </is>
      </c>
      <c r="C13" s="33">
        <f>IF('Your paths'!C70&lt;&gt;"Ready","",'Monthly model'!N67)</f>
        <v>162586.921156416</v>
      </c>
      <c r="D13" s="33">
        <f>IF('Your paths'!D70&lt;&gt;"Ready","",'Monthly model'!N133)</f>
        <v>89210.14419114</v>
      </c>
      <c r="E13" s="33">
        <f>IF('Your paths'!E70&lt;&gt;"Ready","",'Monthly model'!N199)</f>
        <v>53894.7873383154</v>
      </c>
      <c r="F13" s="3" t="n"/>
    </row>
    <row r="14" ht="27" customHeight="1">
      <c r="A14" s="3" t="n"/>
      <c r="B14" s="3" t="inlineStr">
        <is>
          <t>Investments</t>
        </is>
      </c>
      <c r="C14" s="33">
        <f>IF('Your paths'!C70&lt;&gt;"Ready","",'Monthly model'!O67)</f>
        <v>163511.255820592</v>
      </c>
      <c r="D14" s="33">
        <f>IF('Your paths'!D70&lt;&gt;"Ready","",'Monthly model'!O133)</f>
        <v>74916.6597464145</v>
      </c>
      <c r="E14" s="33">
        <f>IF('Your paths'!E70&lt;&gt;"Ready","",'Monthly model'!O199)</f>
        <v>176247.065657739</v>
      </c>
      <c r="F14" s="3" t="n"/>
    </row>
    <row r="15" ht="27" customHeight="1">
      <c r="A15" s="3" t="n"/>
      <c r="B15" s="3" t="inlineStr">
        <is>
          <t>Home market value</t>
        </is>
      </c>
      <c r="C15" s="33">
        <f>IF('Your paths'!C70&lt;&gt;"Ready","",'Monthly model'!I67)</f>
        <v>0</v>
      </c>
      <c r="D15" s="33">
        <f>IF('Your paths'!D70&lt;&gt;"Ready","",'Monthly model'!I133)</f>
        <v>552040.401600002</v>
      </c>
      <c r="E15" s="33">
        <f>IF('Your paths'!E70&lt;&gt;"Ready","",'Monthly model'!I199)</f>
        <v>445707.360000001</v>
      </c>
      <c r="F15" s="3" t="n"/>
    </row>
    <row r="16" ht="27" customHeight="1">
      <c r="A16" s="3" t="n"/>
      <c r="B16" s="3" t="inlineStr">
        <is>
          <t>Mortgage balance</t>
        </is>
      </c>
      <c r="C16" s="33">
        <f>IF('Your paths'!C70&lt;&gt;"Ready","",'Monthly model'!H67)</f>
        <v>0</v>
      </c>
      <c r="D16" s="33">
        <f>IF('Your paths'!D70&lt;&gt;"Ready","",'Monthly model'!H133)</f>
        <v>351185.550631901</v>
      </c>
      <c r="E16" s="33">
        <f>IF('Your paths'!E70&lt;&gt;"Ready","",'Monthly model'!H199)</f>
        <v>312499.383964494</v>
      </c>
      <c r="F16" s="3" t="n"/>
    </row>
    <row r="17" ht="27" customHeight="1">
      <c r="A17" s="3" t="n"/>
      <c r="B17" s="3" t="inlineStr">
        <is>
          <t>Home equity</t>
        </is>
      </c>
      <c r="C17" s="33">
        <f>IF('Your paths'!C70&lt;&gt;"Ready","",C15-C16)</f>
        <v>0</v>
      </c>
      <c r="D17" s="33">
        <f>IF('Your paths'!D70&lt;&gt;"Ready","",D15-D16)</f>
        <v>200854.8509681</v>
      </c>
      <c r="E17" s="33">
        <f>IF('Your paths'!E70&lt;&gt;"Ready","",E15-E16)</f>
        <v>133207.976035508</v>
      </c>
      <c r="F17" s="3" t="n"/>
    </row>
    <row r="18" ht="27" customHeight="1">
      <c r="A18" s="3" t="n"/>
      <c r="B18" s="3" t="inlineStr">
        <is>
          <t>Total modelled net worth</t>
        </is>
      </c>
      <c r="C18" s="33">
        <f>IF('Your paths'!C70&lt;&gt;"Ready","",SUM(C13:C15)-C16)</f>
        <v>326098.176977009</v>
      </c>
      <c r="D18" s="33">
        <f>IF('Your paths'!D70&lt;&gt;"Ready","",SUM(D13:D15)-D16)</f>
        <v>364981.654905655</v>
      </c>
      <c r="E18" s="33">
        <f>IF('Your paths'!E70&lt;&gt;"Ready","",SUM(E13:E15)-E16)</f>
        <v>363349.829031562</v>
      </c>
      <c r="F18" s="3" t="n"/>
    </row>
    <row r="19" ht="27" customHeight="1">
      <c r="A19" s="3" t="n"/>
      <c r="B19" s="3" t="inlineStr">
        <is>
          <t>Liquid assets (before any tax)</t>
        </is>
      </c>
      <c r="C19" s="33">
        <f>IF('Your paths'!C70&lt;&gt;"Ready","",SUM(C13:C14))</f>
        <v>326098.176977009</v>
      </c>
      <c r="D19" s="33">
        <f>IF('Your paths'!D70&lt;&gt;"Ready","",SUM(D13:D14))</f>
        <v>164126.803937555</v>
      </c>
      <c r="E19" s="33">
        <f>IF('Your paths'!E70&lt;&gt;"Ready","",SUM(E13:E14))</f>
        <v>230141.852996054</v>
      </c>
      <c r="F19" s="3" t="n"/>
    </row>
    <row r="20" ht="27" customHeight="1">
      <c r="A20" s="3" t="n"/>
      <c r="B20" s="3" t="n"/>
      <c r="C20" s="3" t="n"/>
      <c r="D20" s="3" t="n"/>
      <c r="E20" s="3" t="n"/>
      <c r="F20" s="3" t="n"/>
    </row>
    <row r="21" ht="27" customHeight="1">
      <c r="A21" s="3" t="n"/>
      <c r="B21" s="3" t="inlineStr">
        <is>
          <t>First-month flexibility</t>
        </is>
      </c>
      <c r="C21" s="33">
        <f>IF('Your paths'!C70&lt;&gt;"Ready","",'Monthly model'!Q8)</f>
        <v>1600</v>
      </c>
      <c r="D21" s="33">
        <f>IF('Your paths'!D70&lt;&gt;"Ready","",'Monthly model'!Q74)</f>
        <v>1247.77484952471</v>
      </c>
      <c r="E21" s="33">
        <f>IF('Your paths'!E70&lt;&gt;"Ready","",'Monthly model'!Q140)</f>
        <v>1800</v>
      </c>
      <c r="F21" s="3" t="n"/>
    </row>
    <row r="22" ht="27" customHeight="1">
      <c r="A22" s="3" t="n"/>
      <c r="B22" s="3" t="inlineStr">
        <is>
          <t>Five-year average flexibility</t>
        </is>
      </c>
      <c r="C22" s="33">
        <f>IF('Your paths'!C70&lt;&gt;"Ready","",AVERAGE('Monthly model'!Q8:Q67))</f>
        <v>1706.1008832</v>
      </c>
      <c r="D22" s="33">
        <f>IF('Your paths'!D70&lt;&gt;"Ready","",AVERAGE('Monthly model'!Q74:Q133))</f>
        <v>1417.60427603138</v>
      </c>
      <c r="E22" s="33">
        <f>IF('Your paths'!E70&lt;&gt;"Ready","",AVERAGE('Monthly model'!Q140:Q199))</f>
        <v>1602.63266016046</v>
      </c>
      <c r="F22" s="3" t="n"/>
    </row>
    <row r="23" ht="27" customHeight="1">
      <c r="A23" s="3" t="n"/>
      <c r="B23" s="3" t="inlineStr">
        <is>
          <t>Five-year total flexibility</t>
        </is>
      </c>
      <c r="C23" s="33">
        <f>IF('Your paths'!C70&lt;&gt;"Ready","",SUM('Monthly model'!Q8:Q67))</f>
        <v>102366.052992</v>
      </c>
      <c r="D23" s="33">
        <f>IF('Your paths'!D70&lt;&gt;"Ready","",SUM('Monthly model'!Q74:Q133))</f>
        <v>85056.2565618828</v>
      </c>
      <c r="E23" s="33">
        <f>IF('Your paths'!E70&lt;&gt;"Ready","",SUM('Monthly model'!Q140:Q199))</f>
        <v>96157.9596096273</v>
      </c>
      <c r="F23" s="3" t="n"/>
    </row>
    <row r="24" ht="43" customHeight="1">
      <c r="A24" s="3" t="n"/>
      <c r="B24" s="7" t="inlineStr">
        <is>
          <t>Flexibility is income less housing, other expenses and planned investing. The model retains it as cash; spending it would reduce the displayed cash balance.</t>
        </is>
      </c>
    </row>
    <row r="25" ht="27" customHeight="1">
      <c r="A25" s="3" t="n"/>
      <c r="B25" s="3" t="n"/>
      <c r="C25" s="3" t="n"/>
      <c r="D25" s="3" t="n"/>
      <c r="E25" s="3" t="n"/>
      <c r="F25" s="3" t="n"/>
    </row>
    <row r="26" ht="27" customHeight="1">
      <c r="A26" s="3" t="n"/>
      <c r="B26" s="3" t="n"/>
      <c r="C26" s="3" t="n"/>
      <c r="D26" s="3" t="n"/>
      <c r="E26" s="3" t="n"/>
      <c r="F26" s="3" t="n"/>
    </row>
    <row r="27" ht="25" customHeight="1">
      <c r="A27" s="3" t="n"/>
      <c r="B27" s="12" t="inlineStr">
        <is>
          <t>REVERSIBILITY / AT THE END OF YEAR FIVE</t>
        </is>
      </c>
    </row>
    <row r="28" ht="27" customHeight="1">
      <c r="A28" s="3" t="n"/>
      <c r="B28" s="3" t="inlineStr">
        <is>
          <t>Starting costs + purchase capital</t>
        </is>
      </c>
      <c r="C28" s="33">
        <f>IF('Your paths'!C70&lt;&gt;"Ready","",SUM('Monthly model'!P7:P67))</f>
        <v>0</v>
      </c>
      <c r="D28" s="33">
        <f>IF('Your paths'!D70&lt;&gt;"Ready","",SUM('Monthly model'!P73:P133))</f>
        <v>106500</v>
      </c>
      <c r="E28" s="33">
        <f>IF('Your paths'!E70&lt;&gt;"Ready","",SUM('Monthly model'!P139:P199))</f>
        <v>97060</v>
      </c>
      <c r="F28" s="3" t="n"/>
    </row>
    <row r="29" ht="27" customHeight="1">
      <c r="A29" s="3" t="n"/>
      <c r="B29" s="3" t="inlineStr">
        <is>
          <t>Estimated cost to leave</t>
        </is>
      </c>
      <c r="C29" s="33">
        <f>IF('Your paths'!C70&lt;&gt;"Ready","",IF(C15&gt;0,C15*'Your paths'!$C$23+'Your paths'!C51,0)+'Your paths'!C50)</f>
        <v>1500</v>
      </c>
      <c r="D29" s="33">
        <f>IF('Your paths'!D70&lt;&gt;"Ready","",IF(D15&gt;0,D15*'Your paths'!$C$23+'Your paths'!D51,0)+'Your paths'!D50)</f>
        <v>29602.0200800001</v>
      </c>
      <c r="E29" s="33">
        <f>IF('Your paths'!E70&lt;&gt;"Ready","",IF(E15&gt;0,E15*'Your paths'!$C$23+'Your paths'!E51,0)+'Your paths'!E50)</f>
        <v>26785.3680000001</v>
      </c>
      <c r="F29" s="3" t="n"/>
    </row>
    <row r="30" ht="27" customHeight="1">
      <c r="A30" s="3" t="n"/>
      <c r="B30" s="3" t="inlineStr">
        <is>
          <t>Net worth after leaving costs</t>
        </is>
      </c>
      <c r="C30" s="33">
        <f>IF('Your paths'!C70&lt;&gt;"Ready","",C18-C29)</f>
        <v>324598.176977009</v>
      </c>
      <c r="D30" s="33">
        <f>IF('Your paths'!D70&lt;&gt;"Ready","",D18-D29)</f>
        <v>335379.634825655</v>
      </c>
      <c r="E30" s="33">
        <f>IF('Your paths'!E70&lt;&gt;"Ready","",E18-E29)</f>
        <v>336564.461031562</v>
      </c>
      <c r="F30" s="3" t="n"/>
    </row>
    <row r="31" ht="27" customHeight="1">
      <c r="A31" s="3" t="n"/>
      <c r="B31" s="3" t="inlineStr">
        <is>
          <t>Lowest cash balance</t>
        </is>
      </c>
      <c r="C31" s="33">
        <f>IF('Your paths'!C70&lt;&gt;"Ready","",MIN('Monthly model'!N7:N67))</f>
        <v>50000</v>
      </c>
      <c r="D31" s="33">
        <f>IF('Your paths'!D70&lt;&gt;"Ready","",MIN('Monthly model'!N73:N133))</f>
        <v>1327.87654266784</v>
      </c>
      <c r="E31" s="33">
        <f>IF('Your paths'!E70&lt;&gt;"Ready","",MIN('Monthly model'!N139:N199))</f>
        <v>1514.99291218058</v>
      </c>
      <c r="F31" s="3" t="n"/>
    </row>
    <row r="32" ht="42" customHeight="1">
      <c r="A32" s="3" t="n"/>
      <c r="B32" s="3" t="inlineStr">
        <is>
          <t>Funding check</t>
        </is>
      </c>
      <c r="C32" s="34" t="str">
        <f>IF('Your paths'!C70&lt;&gt;"Ready",'Your paths'!C70,IF(OR(C31&lt;0,C33&gt;0),"Funding gap: revise inputs","No cash shortfall modelled"))</f>
        <v>No cash shortfall modelled</v>
      </c>
      <c r="D32" s="34" t="str">
        <f>IF('Your paths'!D70&lt;&gt;"Ready",'Your paths'!D70,IF(OR(D31&lt;0,D33&gt;0),"Funding gap: revise inputs","No cash shortfall modelled"))</f>
        <v>No cash shortfall modelled</v>
      </c>
      <c r="E32" s="34" t="str">
        <f>IF('Your paths'!E70&lt;&gt;"Ready",'Your paths'!E70,IF(OR(E31&lt;0,E33&gt;0),"Funding gap: revise inputs","No cash shortfall modelled"))</f>
        <v>No cash shortfall modelled</v>
      </c>
      <c r="F32" s="3" t="n"/>
    </row>
    <row r="33" ht="27" customHeight="1">
      <c r="A33" s="3" t="n"/>
      <c r="B33" s="3" t="inlineStr">
        <is>
          <t>Purchase-day funding gap</t>
        </is>
      </c>
      <c r="C33" s="33">
        <f>IF('Your paths'!C70&lt;&gt;"Ready","",MAX('Monthly model'!S7:S67))</f>
        <v>0</v>
      </c>
      <c r="D33" s="33">
        <f>IF('Your paths'!D70&lt;&gt;"Ready","",MAX('Monthly model'!S73:S133))</f>
        <v>0</v>
      </c>
      <c r="E33" s="33">
        <f>IF('Your paths'!E70&lt;&gt;"Ready","",MAX('Monthly model'!S139:S199))</f>
        <v>0</v>
      </c>
      <c r="F33" s="3" t="n"/>
    </row>
    <row r="34" ht="27" customHeight="1">
      <c r="A34" s="3" t="n"/>
      <c r="B34" s="3" t="n"/>
      <c r="C34" s="3" t="n"/>
      <c r="D34" s="3" t="n"/>
      <c r="E34" s="3" t="n"/>
      <c r="F34" s="3" t="n"/>
    </row>
    <row r="35" ht="25" customHeight="1">
      <c r="A35" s="3" t="n"/>
      <c r="B35" s="12" t="inlineStr">
        <is>
          <t>WHAT CHANGES BETWEEN YOUR OPTIONS</t>
        </is>
      </c>
    </row>
    <row r="36" ht="27" customHeight="1">
      <c r="A36" s="3" t="n"/>
      <c r="B36" s="3" t="inlineStr">
        <is>
          <t>From path number</t>
        </is>
      </c>
      <c r="C36" s="35" t="n">
        <v>1</v>
      </c>
      <c r="D36" s="3" t="inlineStr">
        <is>
          <t>To path number</t>
        </is>
      </c>
      <c r="E36" s="35" t="n">
        <v>2</v>
      </c>
      <c r="F36" s="3" t="n"/>
    </row>
    <row r="37" ht="27" customHeight="1">
      <c r="A37" s="3" t="n"/>
      <c r="B37" s="3" t="n"/>
      <c r="C37" s="3" t="n"/>
      <c r="D37" s="3" t="n"/>
      <c r="E37" s="3" t="n"/>
      <c r="F37" s="3" t="n"/>
    </row>
    <row r="38" ht="27" customHeight="1">
      <c r="A38" s="3" t="n"/>
      <c r="B38" s="3" t="inlineStr">
        <is>
          <t>Liquid assets difference</t>
        </is>
      </c>
      <c r="C38" s="33">
        <f>IF(OR(INDEX(C19:E19,1,$E$36)="",INDEX(C19:E19,1,$C$36)=""),"",INDEX(C19:E19,1,$E$36)-INDEX(C19:E19,1,$C$36))</f>
        <v>-161971.373039454</v>
      </c>
      <c r="D38" s="3" t="n"/>
      <c r="E38" s="3" t="n"/>
      <c r="F38" s="3" t="n"/>
    </row>
    <row r="39" ht="27" customHeight="1">
      <c r="A39" s="3" t="n"/>
      <c r="B39" s="3" t="inlineStr">
        <is>
          <t>Home equity difference</t>
        </is>
      </c>
      <c r="C39" s="33">
        <f>IF(OR(INDEX(C17:E17,1,$E$36)="",INDEX(C17:E17,1,$C$36)=""),"",INDEX(C17:E17,1,$E$36)-INDEX(C17:E17,1,$C$36))</f>
        <v>200854.8509681</v>
      </c>
      <c r="D39" s="3" t="n"/>
      <c r="E39" s="3" t="n"/>
      <c r="F39" s="3" t="n"/>
    </row>
    <row r="40" ht="27" customHeight="1">
      <c r="A40" s="3" t="n"/>
      <c r="B40" s="3" t="inlineStr">
        <is>
          <t>Monthly flexibility difference</t>
        </is>
      </c>
      <c r="C40" s="33">
        <f>IF(OR(INDEX(C22:E22,1,$E$36)="",INDEX(C22:E22,1,$C$36)=""),"",INDEX(C22:E22,1,$E$36)-INDEX(C22:E22,1,$C$36))</f>
        <v>-288.496607168621</v>
      </c>
      <c r="D40" s="3" t="n"/>
      <c r="E40" s="3" t="n"/>
      <c r="F40" s="3" t="n"/>
    </row>
    <row r="41" ht="27" customHeight="1">
      <c r="A41" s="3" t="n"/>
      <c r="B41" s="3" t="inlineStr">
        <is>
          <t>Leaving cost difference</t>
        </is>
      </c>
      <c r="C41" s="33">
        <f>IF(OR(INDEX(C29:E29,1,$E$36)="",INDEX(C29:E29,1,$C$36)=""),"",INDEX(C29:E29,1,$E$36)-INDEX(C29:E29,1,$C$36))</f>
        <v>28102.0200800001</v>
      </c>
      <c r="D41" s="3" t="n"/>
      <c r="E41" s="3" t="n"/>
      <c r="F41" s="3" t="n"/>
    </row>
    <row r="42" ht="27" customHeight="1">
      <c r="A42" s="3" t="n"/>
      <c r="B42" s="3" t="n"/>
      <c r="C42" s="3" t="n"/>
      <c r="D42" s="3" t="n"/>
      <c r="E42" s="3" t="n"/>
      <c r="F42" s="3" t="n"/>
    </row>
    <row r="43" ht="27" customHeight="1">
      <c r="A43" s="3" t="n"/>
      <c r="B43" s="3" t="n"/>
      <c r="C43" s="3" t="n"/>
      <c r="D43" s="3" t="n"/>
      <c r="E43" s="3" t="n"/>
      <c r="F43" s="3" t="n"/>
    </row>
    <row r="44" ht="25" customHeight="1">
      <c r="A44" s="3" t="n"/>
      <c r="B44" s="12" t="inlineStr">
        <is>
          <t>THE THING WORTH THINKING ABOUT</t>
        </is>
      </c>
    </row>
    <row r="45" ht="27" customHeight="1">
      <c r="A45" s="3" t="n"/>
      <c r="B45" s="4" t="str">
        <f>IF(COUNT(C31:E31)&lt;3,"Complete the missing inputs before comparing all three paths.",IF(OR(MIN(C31:E31)&lt;0,MAX(C33:E33)&gt;0),"At least one path needs additional funding. Revise its assumptions before treating it as viable.",IF(AND(C38&lt;0,C39&gt;0),"The destination builds more housing equity but leaves less money liquid.","Put liquid assets, monthly flexibility and the cost to leave beside net worth before choosing.")))</f>
        <v>The destination builds more housing equity but leaves less money liquid.</v>
      </c>
    </row>
    <row r="46" ht="27" customHeight="1">
      <c r="A46" s="3" t="n"/>
    </row>
    <row r="47" ht="27" customHeight="1">
      <c r="A47" s="3" t="n"/>
    </row>
    <row r="48" ht="27" customHeight="1">
      <c r="A48" s="3" t="n"/>
      <c r="B48" s="3" t="n"/>
      <c r="C48" s="3" t="n"/>
      <c r="D48" s="3" t="n"/>
      <c r="E48" s="3" t="n"/>
      <c r="F48" s="3" t="n"/>
    </row>
    <row r="49" ht="27" customHeight="1">
      <c r="A49" s="3" t="n"/>
      <c r="B49" s="3" t="n"/>
      <c r="C49" s="3" t="n"/>
      <c r="D49" s="3" t="n"/>
      <c r="E49" s="3" t="n"/>
      <c r="F49" s="3" t="n"/>
    </row>
    <row r="50" ht="48" customHeight="1">
      <c r="A50" s="3" t="n"/>
      <c r="B50" s="7" t="inlineStr">
        <is>
          <t>WHAT WE ARE ASSUMING: returns are scenarios, income tax is already reflected in take-home pay, and investment tax is not modelled. A negative cash balance is a funding gap, not an approved loan.</t>
        </is>
      </c>
    </row>
    <row r="51" ht="27" customHeight="1">
      <c r="A51" s="3" t="n"/>
      <c r="B51" s="3" t="n"/>
      <c r="C51" s="3" t="n"/>
      <c r="D51" s="3" t="n"/>
      <c r="E51" s="3" t="n"/>
      <c r="F51" s="3" t="n"/>
    </row>
    <row r="52" ht="27" customHeight="1">
      <c r="A52" s="3" t="n"/>
      <c r="B52" s="3" t="n"/>
      <c r="C52" s="3" t="n"/>
      <c r="D52" s="3" t="n"/>
      <c r="E52" s="3" t="n"/>
      <c r="F52" s="3" t="n"/>
    </row>
    <row r="53" ht="46" customHeight="1">
      <c r="A53" s="3" t="n"/>
      <c r="B53" s="7" t="inlineStr">
        <is>
          <t>HBP repayments must be entered on Your paths. FHSA/HBP balances belong in starting investments, not extra money. Eligibility and account-specific tax effects are outside this model.</t>
        </is>
      </c>
    </row>
    <row r="54" ht="27" customHeight="1">
      <c r="A54" s="3" t="n"/>
      <c r="B54" s="3" t="n"/>
      <c r="C54" s="3" t="n"/>
      <c r="D54" s="3" t="n"/>
      <c r="E54" s="3" t="n"/>
      <c r="F54" s="3" t="n"/>
    </row>
    <row r="55" ht="27" customHeight="1">
      <c r="A55" s="3" t="n"/>
      <c r="B55" s="3" t="inlineStr">
        <is>
          <t>Average flexibility / person</t>
        </is>
      </c>
      <c r="C55" s="33">
        <f>IF(OR(C22="",'Your paths'!$C$13&lt;1),"",C22/'Your paths'!$C$13)</f>
        <v>1706.1008832</v>
      </c>
      <c r="D55" s="33">
        <f>IF(OR(D22="",'Your paths'!$C$13&lt;1),"",D22/'Your paths'!$C$13)</f>
        <v>1417.60427603138</v>
      </c>
      <c r="E55" s="33">
        <f>IF(OR(E22="",'Your paths'!$C$13&lt;1),"",E22/'Your paths'!$C$13)</f>
        <v>1602.63266016046</v>
      </c>
      <c r="F55" s="3" t="n"/>
    </row>
    <row r="56" ht="27" customHeight="1">
      <c r="A56" s="3" t="n"/>
      <c r="B56" s="3" t="inlineStr">
        <is>
          <t>First housing cost versus now</t>
        </is>
      </c>
      <c r="C56" s="33">
        <f>IF(C21="","",'Monthly model'!J8-'Your paths'!$C$11)</f>
        <v>0</v>
      </c>
      <c r="D56" s="33">
        <f>IF(D21="","",'Monthly model'!J74-'Your paths'!$C$11)</f>
        <v>652.225150475288</v>
      </c>
      <c r="E56" s="33">
        <f>IF(E21="","",'Monthly model'!J140-'Your paths'!$C$11)</f>
        <v>-500</v>
      </c>
      <c r="F56" s="3" t="n"/>
    </row>
    <row r="57" ht="27" customHeight="1">
      <c r="A57" s="3" t="n"/>
      <c r="B57" s="3" t="n"/>
      <c r="C57" s="3" t="n"/>
      <c r="D57" s="3" t="n"/>
      <c r="E57" s="3" t="n"/>
      <c r="F57" s="3" t="n"/>
    </row>
    <row r="58" ht="27" customHeight="1">
      <c r="A58" s="3" t="n"/>
      <c r="B58" s="3" t="n"/>
      <c r="C58" s="3" t="n"/>
      <c r="D58" s="3" t="n"/>
      <c r="E58" s="3" t="n"/>
      <c r="F58" s="3" t="n"/>
    </row>
    <row r="59" ht="25" customHeight="1">
      <c r="A59" s="3" t="n"/>
      <c r="B59" s="12" t="inlineStr">
        <is>
          <t>WHAT WOULD LIFE FEEL LIKE?</t>
        </is>
      </c>
    </row>
    <row r="60">
      <c r="A60" s="3" t="n"/>
      <c r="B60" s="3" t="n"/>
      <c r="C60" s="3" t="n"/>
      <c r="D60" s="3" t="n"/>
      <c r="E60" s="3" t="n"/>
      <c r="F60" s="3" t="n"/>
    </row>
    <row r="61" ht="58" customHeight="1">
      <c r="A61" s="3" t="n"/>
      <c r="B61" s="3" t="inlineStr">
        <is>
          <t>An ordinary week</t>
        </is>
      </c>
      <c r="C61" s="4" t="str">
        <f>IF('Your paths'!C87="","Add your own note",'Your paths'!C87)</f>
        <v>Add your own note</v>
      </c>
      <c r="D61" s="4" t="str">
        <f>IF('Your paths'!D87="","Add your own note",'Your paths'!D87)</f>
        <v>Add your own note</v>
      </c>
      <c r="E61" s="4" t="str">
        <f>IF('Your paths'!E87="","Add your own note",'Your paths'!E87)</f>
        <v>Add your own note</v>
      </c>
      <c r="F61" s="3" t="n"/>
    </row>
    <row r="62" ht="58" customHeight="1">
      <c r="A62" s="3" t="n"/>
      <c r="B62" s="3" t="inlineStr">
        <is>
          <t>People and places nearby</t>
        </is>
      </c>
      <c r="C62" s="4" t="str">
        <f>IF('Your paths'!C88="","Add your own note",'Your paths'!C88)</f>
        <v>Add your own note</v>
      </c>
      <c r="D62" s="4" t="str">
        <f>IF('Your paths'!D88="","Add your own note",'Your paths'!D88)</f>
        <v>Add your own note</v>
      </c>
      <c r="E62" s="4" t="str">
        <f>IF('Your paths'!E88="","Add your own note",'Your paths'!E88)</f>
        <v>Add your own note</v>
      </c>
      <c r="F62" s="3" t="n"/>
    </row>
    <row r="63" ht="58" customHeight="1">
      <c r="A63" s="3" t="n"/>
      <c r="B63" s="3" t="inlineStr">
        <is>
          <t>Freedom to change plans</t>
        </is>
      </c>
      <c r="C63" s="4" t="str">
        <f>IF('Your paths'!C89="","Add your own note",'Your paths'!C89)</f>
        <v>Add your own note</v>
      </c>
      <c r="D63" s="4" t="str">
        <f>IF('Your paths'!D89="","Add your own note",'Your paths'!D89)</f>
        <v>Add your own note</v>
      </c>
      <c r="E63" s="4" t="str">
        <f>IF('Your paths'!E89="","Add your own note",'Your paths'!E89)</f>
        <v>Add your own note</v>
      </c>
      <c r="F63" s="3" t="n"/>
    </row>
    <row r="64">
      <c r="A64" s="3" t="n"/>
      <c r="B64" s="3" t="n"/>
      <c r="C64" s="3" t="n"/>
      <c r="D64" s="3" t="n"/>
      <c r="E64" s="3" t="n"/>
      <c r="F64" s="3" t="n"/>
    </row>
  </sheetData>
  <mergeCells count="13">
    <mergeCell ref="B44:F44"/>
    <mergeCell ref="B53:F53"/>
    <mergeCell ref="B12:F12"/>
    <mergeCell ref="B24:F24"/>
    <mergeCell ref="B2:F2"/>
    <mergeCell ref="B3:F3"/>
    <mergeCell ref="B5:F5"/>
    <mergeCell ref="B59:F59"/>
    <mergeCell ref="B8:F8"/>
    <mergeCell ref="B45:F47"/>
    <mergeCell ref="B50:F50"/>
    <mergeCell ref="B27:F27"/>
    <mergeCell ref="B35:F35"/>
  </mergeCells>
  <conditionalFormatting sqref="C31:E31">
    <cfRule type="cellIs" priority="1" operator="lessThan" dxfId="0">
      <formula>0</formula>
    </cfRule>
  </conditionalFormatting>
  <dataValidations count="2">
    <dataValidation sqref="C36" showDropDown="0" showInputMessage="0" showErrorMessage="0" allowBlank="0" type="whole" operator="between">
      <formula1>1</formula1>
      <formula2>3</formula2>
    </dataValidation>
    <dataValidation sqref="E36" showDropDown="0" showInputMessage="0" showErrorMessage="0" allowBlank="0" type="whole" operator="between">
      <formula1>1</formula1>
      <formula2>3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5A5F3A"/>
    <outlinePr summaryBelow="1" showOutlineSymbols="1"/>
    <pageSetUpPr/>
  </sheetPr>
  <dimension ref="A1:F90"/>
  <sheetViews>
    <sheetView showGridLines="0" tabSelected="0" workbookViewId="0">
      <pane ySplit="5" topLeftCell="A6" activePane="bottomLeft" state="frozen"/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Build three versions of five years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8" customHeight="1">
      <c r="A5" s="3" t="n"/>
      <c r="B5" s="7" t="inlineStr">
        <is>
          <t>Start here explains every main result. Fill the amber cells below. Expand + for optional details. Read Results when you have your first estimates.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7" customHeight="1">
      <c r="A7" s="3" t="n"/>
      <c r="B7" s="3" t="inlineStr">
        <is>
          <t>Cash savings today</t>
        </is>
      </c>
      <c r="C7" s="36" t="n">
        <v>50000</v>
      </c>
      <c r="D7" s="3" t="n"/>
      <c r="E7" s="3" t="n"/>
      <c r="F7" s="3" t="n"/>
    </row>
    <row r="8" ht="27" customHeight="1">
      <c r="A8" s="3" t="n"/>
      <c r="B8" s="3" t="inlineStr">
        <is>
          <t>Investments today</t>
        </is>
      </c>
      <c r="C8" s="36" t="n">
        <v>80000</v>
      </c>
      <c r="D8" s="3" t="n"/>
      <c r="E8" s="3" t="n"/>
      <c r="F8" s="3" t="n"/>
    </row>
    <row r="9" ht="27" customHeight="1">
      <c r="A9" s="3" t="n"/>
      <c r="B9" s="3" t="inlineStr">
        <is>
          <t>Take-home income / month</t>
        </is>
      </c>
      <c r="C9" s="36" t="n">
        <v>7000</v>
      </c>
      <c r="D9" s="3" t="n"/>
      <c r="E9" s="3" t="n"/>
      <c r="F9" s="3" t="n"/>
    </row>
    <row r="10" ht="27" customHeight="1">
      <c r="A10" s="3" t="n"/>
      <c r="B10" s="3" t="inlineStr">
        <is>
          <t>Non-housing expenses / month</t>
        </is>
      </c>
      <c r="C10" s="36" t="n">
        <v>2000</v>
      </c>
      <c r="D10" s="3" t="n"/>
      <c r="E10" s="3" t="n"/>
      <c r="F10" s="3" t="n"/>
    </row>
    <row r="11" ht="27" customHeight="1">
      <c r="A11" s="3" t="n"/>
      <c r="B11" s="3" t="inlineStr">
        <is>
          <t>Current housing cost / month</t>
        </is>
      </c>
      <c r="C11" s="36" t="n">
        <v>2400</v>
      </c>
      <c r="D11" s="3" t="n"/>
      <c r="E11" s="3" t="n"/>
      <c r="F11" s="3" t="n"/>
    </row>
    <row r="12" ht="27" customHeight="1">
      <c r="A12" s="3" t="n"/>
      <c r="B12" s="3" t="inlineStr">
        <is>
          <t>Usual investing / month</t>
        </is>
      </c>
      <c r="C12" s="36" t="n">
        <v>1000</v>
      </c>
      <c r="D12" s="3" t="n"/>
      <c r="E12" s="3" t="n"/>
      <c r="F12" s="3" t="n"/>
    </row>
    <row r="13" ht="27" customHeight="1">
      <c r="A13" s="3" t="n"/>
      <c r="B13" s="3" t="inlineStr">
        <is>
          <t>People in this household</t>
        </is>
      </c>
      <c r="C13" s="35" t="n">
        <v>1</v>
      </c>
      <c r="D13" s="3" t="n"/>
      <c r="E13" s="3" t="n"/>
      <c r="F13" s="3" t="n"/>
    </row>
    <row r="14" ht="27" customHeight="1">
      <c r="A14" s="3" t="n"/>
      <c r="B14" s="3" t="inlineStr">
        <is>
          <t>Province / territory</t>
        </is>
      </c>
      <c r="C14" s="17" t="inlineStr">
        <is>
          <t>British Columbia</t>
        </is>
      </c>
      <c r="D14" s="3" t="n"/>
      <c r="E14" s="3" t="n"/>
      <c r="F14" s="3" t="n"/>
    </row>
    <row r="15" ht="27" customHeight="1">
      <c r="A15" s="3" t="n"/>
      <c r="B15" s="3" t="n"/>
      <c r="C15" s="3" t="n"/>
      <c r="D15" s="3" t="n"/>
      <c r="E15" s="3" t="n"/>
      <c r="F15" s="3" t="n"/>
    </row>
    <row r="16" ht="25" customHeight="1">
      <c r="A16" s="3" t="n"/>
      <c r="B16" s="12" t="inlineStr">
        <is>
          <t>ASSUMPTIONS / EXPAND + TO REVIEW BEFORE DECIDING</t>
        </is>
      </c>
    </row>
    <row r="17" hidden="1" outlineLevel="1" ht="27" customHeight="1">
      <c r="A17" s="3" t="n"/>
      <c r="B17" s="3" t="n"/>
      <c r="C17" s="3" t="n"/>
      <c r="D17" s="3" t="n"/>
      <c r="E17" s="3" t="n"/>
      <c r="F17" s="3" t="n"/>
    </row>
    <row r="18" hidden="1" outlineLevel="1" ht="27" customHeight="1">
      <c r="A18" s="3" t="n"/>
      <c r="B18" s="3" t="inlineStr">
        <is>
          <t>Investment return / year</t>
        </is>
      </c>
      <c r="C18" s="37" t="n">
        <v>0.04</v>
      </c>
      <c r="D18" s="3" t="n"/>
      <c r="E18" s="3" t="n"/>
      <c r="F18" s="3" t="n"/>
    </row>
    <row r="19" hidden="1" outlineLevel="1" ht="27" customHeight="1">
      <c r="A19" s="3" t="n"/>
      <c r="B19" s="3" t="inlineStr">
        <is>
          <t>Home price change / year</t>
        </is>
      </c>
      <c r="C19" s="37" t="n">
        <v>0.02</v>
      </c>
      <c r="D19" s="3" t="n"/>
      <c r="E19" s="3" t="n"/>
      <c r="F19" s="3" t="n"/>
    </row>
    <row r="20" hidden="1" outlineLevel="1" ht="27" customHeight="1">
      <c r="A20" s="3" t="n"/>
      <c r="B20" s="3" t="inlineStr">
        <is>
          <t>Rent increase / year</t>
        </is>
      </c>
      <c r="C20" s="37" t="n">
        <v>0.02</v>
      </c>
      <c r="D20" s="3" t="n"/>
      <c r="E20" s="3" t="n"/>
      <c r="F20" s="3" t="n"/>
    </row>
    <row r="21" hidden="1" outlineLevel="1" ht="27" customHeight="1">
      <c r="A21" s="3" t="n"/>
      <c r="B21" s="3" t="inlineStr">
        <is>
          <t>Other cost increase / year</t>
        </is>
      </c>
      <c r="C21" s="37" t="n">
        <v>0.02</v>
      </c>
      <c r="D21" s="3" t="n"/>
      <c r="E21" s="3" t="n"/>
      <c r="F21" s="3" t="n"/>
    </row>
    <row r="22" hidden="1" outlineLevel="1" ht="27" customHeight="1">
      <c r="A22" s="3" t="n"/>
      <c r="B22" s="3" t="inlineStr">
        <is>
          <t>Other closing costs / price</t>
        </is>
      </c>
      <c r="C22" s="37" t="n">
        <v>0.01</v>
      </c>
      <c r="D22" s="3" t="n"/>
      <c r="E22" s="3" t="n"/>
      <c r="F22" s="3" t="n"/>
    </row>
    <row r="23" hidden="1" outlineLevel="1" ht="27" customHeight="1">
      <c r="A23" s="3" t="n"/>
      <c r="B23" s="3" t="inlineStr">
        <is>
          <t>Selling expenses / price</t>
        </is>
      </c>
      <c r="C23" s="37" t="n">
        <v>0.05</v>
      </c>
      <c r="D23" s="3" t="n"/>
      <c r="E23" s="3" t="n"/>
      <c r="F23" s="3" t="n"/>
    </row>
    <row r="24" hidden="1" outlineLevel="1" ht="27" customHeight="1">
      <c r="A24" s="3" t="n"/>
      <c r="B24" s="3" t="inlineStr">
        <is>
          <t>Income growth / year</t>
        </is>
      </c>
      <c r="C24" s="37" t="n">
        <v>0.02</v>
      </c>
      <c r="D24" s="3" t="n"/>
      <c r="E24" s="3" t="n"/>
      <c r="F24" s="3" t="n"/>
    </row>
    <row r="25" hidden="1" outlineLevel="1" ht="27" customHeight="1">
      <c r="A25" s="3" t="n"/>
      <c r="B25" s="3" t="inlineStr">
        <is>
          <t>Different investment return?</t>
        </is>
      </c>
      <c r="C25" s="17" t="inlineStr">
        <is>
          <t>No</t>
        </is>
      </c>
      <c r="D25" s="3" t="n"/>
      <c r="E25" s="3" t="n"/>
      <c r="F25" s="3" t="n"/>
    </row>
    <row r="26" hidden="1" outlineLevel="1" ht="27" customHeight="1">
      <c r="A26" s="3" t="n"/>
      <c r="B26" s="3" t="inlineStr">
        <is>
          <t>Alternative return / year</t>
        </is>
      </c>
      <c r="C26" s="37" t="n">
        <v>-0.02</v>
      </c>
      <c r="D26" s="3" t="n"/>
      <c r="E26" s="3" t="n"/>
      <c r="F26" s="3" t="n"/>
    </row>
    <row r="27" hidden="1" outlineLevel="1" ht="27" customHeight="1">
      <c r="A27" s="3" t="n"/>
      <c r="B27" s="3" t="inlineStr">
        <is>
          <t>No home price growth?</t>
        </is>
      </c>
      <c r="C27" s="17" t="inlineStr">
        <is>
          <t>No</t>
        </is>
      </c>
      <c r="D27" s="3" t="n"/>
      <c r="E27" s="3" t="n"/>
      <c r="F27" s="3" t="n"/>
    </row>
    <row r="28" hidden="1" outlineLevel="1" ht="27" customHeight="1">
      <c r="A28" s="3" t="n"/>
      <c r="B28" s="3" t="inlineStr">
        <is>
          <t>Housing cash cost +10%?</t>
        </is>
      </c>
      <c r="C28" s="17" t="inlineStr">
        <is>
          <t>No</t>
        </is>
      </c>
      <c r="D28" s="3" t="n"/>
      <c r="E28" s="3" t="n"/>
      <c r="F28" s="3" t="n"/>
    </row>
    <row r="29" hidden="1" outlineLevel="1" ht="27" customHeight="1">
      <c r="A29" s="3" t="n"/>
      <c r="B29" s="3" t="inlineStr">
        <is>
          <t>Cash savings interest / year</t>
        </is>
      </c>
      <c r="C29" s="37" t="n">
        <v>0.02</v>
      </c>
      <c r="D29" s="3" t="n"/>
      <c r="E29" s="3" t="n"/>
      <c r="F29" s="3" t="n"/>
    </row>
    <row r="30" hidden="1" outlineLevel="1" ht="27" customHeight="1">
      <c r="A30" s="3" t="n"/>
      <c r="B30" s="3" t="inlineStr">
        <is>
          <t>Active investment return</t>
        </is>
      </c>
      <c r="C30" s="38">
        <f>IF(C25="Yes",C26,C18)</f>
        <v>0.04</v>
      </c>
      <c r="D30" s="3" t="n"/>
      <c r="E30" s="3" t="n"/>
      <c r="F30" s="3" t="n"/>
    </row>
    <row r="31" hidden="1" outlineLevel="1" ht="27" customHeight="1">
      <c r="A31" s="3" t="n"/>
      <c r="B31" s="3" t="inlineStr">
        <is>
          <t>Active home price change</t>
        </is>
      </c>
      <c r="C31" s="38">
        <f>IF(C27="Yes",0,C19)</f>
        <v>0.02</v>
      </c>
      <c r="D31" s="3" t="n"/>
      <c r="E31" s="3" t="n"/>
      <c r="F31" s="3" t="n"/>
    </row>
    <row r="32" hidden="1" outlineLevel="1" ht="27" customHeight="1">
      <c r="A32" s="3" t="n"/>
      <c r="B32" s="3" t="inlineStr">
        <is>
          <t>Active housing cost multiplier</t>
        </is>
      </c>
      <c r="C32" s="3">
        <f>IF(C28="Yes",1.1,1)</f>
        <v>1</v>
      </c>
      <c r="D32" s="3" t="n"/>
      <c r="E32" s="3" t="n"/>
      <c r="F32" s="3" t="n"/>
    </row>
    <row r="33" collapsed="1" ht="25" customHeight="1">
      <c r="A33" s="3" t="n"/>
      <c r="B33" s="12" t="inlineStr">
        <is>
          <t>YOUR THREE PATHS</t>
        </is>
      </c>
    </row>
    <row r="34" ht="27" customHeight="1">
      <c r="A34" s="3" t="n"/>
      <c r="B34" s="3" t="n"/>
      <c r="C34" s="10" t="inlineStr">
        <is>
          <t>Path 1</t>
        </is>
      </c>
      <c r="D34" s="10" t="inlineStr">
        <is>
          <t>Path 2</t>
        </is>
      </c>
      <c r="E34" s="10" t="inlineStr">
        <is>
          <t>Path 3</t>
        </is>
      </c>
      <c r="F34" s="3" t="n"/>
    </row>
    <row r="35" ht="27" customHeight="1">
      <c r="A35" s="3" t="n"/>
      <c r="B35" s="3" t="inlineStr">
        <is>
          <t>Path name</t>
        </is>
      </c>
      <c r="C35" s="17" t="inlineStr">
        <is>
          <t>Keep renting</t>
        </is>
      </c>
      <c r="D35" s="17" t="inlineStr">
        <is>
          <t>Buy a condo</t>
        </is>
      </c>
      <c r="E35" s="17" t="inlineStr">
        <is>
          <t>Move, then buy</t>
        </is>
      </c>
      <c r="F35" s="3" t="n"/>
    </row>
    <row r="36" ht="27" customHeight="1">
      <c r="A36" s="3" t="n"/>
      <c r="B36" s="3" t="inlineStr">
        <is>
          <t>Housing plan</t>
        </is>
      </c>
      <c r="C36" s="17" t="inlineStr">
        <is>
          <t>Rent</t>
        </is>
      </c>
      <c r="D36" s="17" t="inlineStr">
        <is>
          <t>Buy</t>
        </is>
      </c>
      <c r="E36" s="17" t="inlineStr">
        <is>
          <t>Rent then buy</t>
        </is>
      </c>
      <c r="F36" s="3" t="n"/>
    </row>
    <row r="37" ht="27" customHeight="1">
      <c r="A37" s="3" t="n"/>
      <c r="B37" s="3" t="inlineStr">
        <is>
          <t>Starting rent / month</t>
        </is>
      </c>
      <c r="C37" s="36" t="n">
        <v>2400</v>
      </c>
      <c r="D37" s="36" t="n">
        <v>2400</v>
      </c>
      <c r="E37" s="36" t="n">
        <v>1900</v>
      </c>
      <c r="F37" s="3" t="n"/>
    </row>
    <row r="38" ht="27" customHeight="1">
      <c r="A38" s="3" t="n"/>
      <c r="B38" s="3" t="inlineStr">
        <is>
          <t>Moving cost / each move</t>
        </is>
      </c>
      <c r="C38" s="36" t="n">
        <v>0</v>
      </c>
      <c r="D38" s="36" t="n">
        <v>1500</v>
      </c>
      <c r="E38" s="36" t="n">
        <v>4000</v>
      </c>
      <c r="F38" s="3" t="n"/>
    </row>
    <row r="39" ht="27" customHeight="1">
      <c r="A39" s="3" t="n"/>
      <c r="B39" s="3" t="inlineStr">
        <is>
          <t>Investing / month (blank = usual)</t>
        </is>
      </c>
      <c r="C39" s="36" t="n">
        <v>1000</v>
      </c>
      <c r="D39" s="36" t="n">
        <v>700</v>
      </c>
      <c r="E39" s="36" t="n">
        <v>1200</v>
      </c>
      <c r="F39" s="3" t="n"/>
    </row>
    <row r="40" ht="27" customHeight="1">
      <c r="A40" s="3" t="n"/>
      <c r="B40" s="3" t="inlineStr">
        <is>
          <t>Purchase year (1 to 5)</t>
        </is>
      </c>
      <c r="C40" s="17" t="n">
        <v>1</v>
      </c>
      <c r="D40" s="17" t="n">
        <v>1</v>
      </c>
      <c r="E40" s="17" t="n">
        <v>3</v>
      </c>
      <c r="F40" s="3" t="n"/>
    </row>
    <row r="41" ht="27" customHeight="1">
      <c r="A41" s="3" t="n"/>
      <c r="B41" s="3" t="inlineStr">
        <is>
          <t>Purchase price at purchase date</t>
        </is>
      </c>
      <c r="C41" s="36" t="n">
        <v>0</v>
      </c>
      <c r="D41" s="36" t="n">
        <v>500000</v>
      </c>
      <c r="E41" s="36" t="n">
        <v>420000</v>
      </c>
      <c r="F41" s="3" t="n"/>
    </row>
    <row r="42" ht="27" customHeight="1">
      <c r="A42" s="3" t="n"/>
      <c r="B42" s="3" t="inlineStr">
        <is>
          <t>Down payment / dollars</t>
        </is>
      </c>
      <c r="C42" s="36" t="n">
        <v>0</v>
      </c>
      <c r="D42" s="36" t="n">
        <v>100000</v>
      </c>
      <c r="E42" s="36" t="n">
        <v>84000</v>
      </c>
      <c r="F42" s="3" t="n"/>
    </row>
    <row r="43" ht="27" customHeight="1">
      <c r="A43" s="3" t="n"/>
      <c r="B43" s="3" t="inlineStr">
        <is>
          <t>Mortgage rate / annual quoted</t>
        </is>
      </c>
      <c r="C43" s="37" t="n">
        <v>0.045</v>
      </c>
      <c r="D43" s="37" t="n">
        <v>0.045</v>
      </c>
      <c r="E43" s="37" t="n">
        <v>0.045</v>
      </c>
      <c r="F43" s="3" t="n"/>
    </row>
    <row r="44" ht="27" customHeight="1">
      <c r="A44" s="3" t="n"/>
      <c r="B44" s="3" t="inlineStr">
        <is>
          <t>Amortization / years</t>
        </is>
      </c>
      <c r="C44" s="17" t="n">
        <v>25</v>
      </c>
      <c r="D44" s="17" t="n">
        <v>25</v>
      </c>
      <c r="E44" s="17" t="n">
        <v>25</v>
      </c>
      <c r="F44" s="3" t="n"/>
    </row>
    <row r="45" ht="27" customHeight="1">
      <c r="A45" s="3" t="n"/>
      <c r="B45" s="3" t="inlineStr">
        <is>
          <t>Property tax / year (today's $)</t>
        </is>
      </c>
      <c r="C45" s="36" t="n">
        <v>0</v>
      </c>
      <c r="D45" s="36" t="n">
        <v>2500</v>
      </c>
      <c r="E45" s="36" t="n">
        <v>3000</v>
      </c>
      <c r="F45" s="3" t="n"/>
    </row>
    <row r="46" ht="27" customHeight="1">
      <c r="A46" s="3" t="n"/>
      <c r="B46" s="3" t="inlineStr">
        <is>
          <t>Condo/strata fee / mo (today's $)</t>
        </is>
      </c>
      <c r="C46" s="36" t="n">
        <v>0</v>
      </c>
      <c r="D46" s="36" t="n">
        <v>450</v>
      </c>
      <c r="E46" s="36" t="n">
        <v>0</v>
      </c>
      <c r="F46" s="3" t="n"/>
    </row>
    <row r="47" ht="27" customHeight="1">
      <c r="A47" s="3" t="n"/>
      <c r="B47" s="3" t="inlineStr">
        <is>
          <t>Upkeep + insurance + utilities (today's $)</t>
        </is>
      </c>
      <c r="C47" s="36" t="n">
        <v>0</v>
      </c>
      <c r="D47" s="36" t="n">
        <v>180</v>
      </c>
      <c r="E47" s="36" t="n">
        <v>400</v>
      </c>
      <c r="F47" s="3" t="n"/>
    </row>
    <row r="48" ht="27" customHeight="1">
      <c r="A48" s="3" t="n"/>
      <c r="B48" s="3" t="inlineStr">
        <is>
          <t>Change in other expenses / month</t>
        </is>
      </c>
      <c r="C48" s="36" t="n">
        <v>0</v>
      </c>
      <c r="D48" s="36" t="n">
        <v>0</v>
      </c>
      <c r="E48" s="36" t="n">
        <v>100</v>
      </c>
      <c r="F48" s="3" t="n"/>
    </row>
    <row r="49" ht="27" customHeight="1">
      <c r="A49" s="3" t="n"/>
      <c r="B49" s="3" t="inlineStr">
        <is>
          <t>Change in take-home income / mo</t>
        </is>
      </c>
      <c r="C49" s="36" t="n">
        <v>0</v>
      </c>
      <c r="D49" s="36" t="n">
        <v>0</v>
      </c>
      <c r="E49" s="36" t="n">
        <v>0</v>
      </c>
      <c r="F49" s="3" t="n"/>
    </row>
    <row r="50" ht="27" customHeight="1">
      <c r="A50" s="3" t="n"/>
      <c r="B50" s="3" t="inlineStr">
        <is>
          <t>Moving / lease exit cost later</t>
        </is>
      </c>
      <c r="C50" s="36" t="n">
        <v>1500</v>
      </c>
      <c r="D50" s="36" t="n">
        <v>2000</v>
      </c>
      <c r="E50" s="36" t="n">
        <v>4500</v>
      </c>
      <c r="F50" s="3" t="n"/>
    </row>
    <row r="51" ht="27" customHeight="1">
      <c r="A51" s="3" t="n"/>
      <c r="B51" s="3" t="inlineStr">
        <is>
          <t>Mortgage exit penalty estimate</t>
        </is>
      </c>
      <c r="C51" s="36" t="n">
        <v>0</v>
      </c>
      <c r="D51" s="36" t="n">
        <v>0</v>
      </c>
      <c r="E51" s="36" t="n">
        <v>0</v>
      </c>
      <c r="F51" s="3" t="n"/>
    </row>
    <row r="52" ht="27" customHeight="1">
      <c r="A52" s="3" t="n"/>
      <c r="B52" s="3" t="inlineStr">
        <is>
          <t>Insurance premium override / $</t>
        </is>
      </c>
      <c r="C52" s="36" t="n"/>
      <c r="D52" s="36" t="n"/>
      <c r="E52" s="36" t="n"/>
      <c r="F52" s="3" t="n"/>
    </row>
    <row r="53" hidden="1" outlineLevel="1" ht="27" customHeight="1">
      <c r="A53" s="3" t="n"/>
      <c r="B53" s="3" t="inlineStr">
        <is>
          <t>First-time buyer?</t>
        </is>
      </c>
      <c r="C53" s="17" t="inlineStr">
        <is>
          <t>Not sure</t>
        </is>
      </c>
      <c r="D53" s="17" t="inlineStr">
        <is>
          <t>Yes</t>
        </is>
      </c>
      <c r="E53" s="17" t="inlineStr">
        <is>
          <t>Yes</t>
        </is>
      </c>
      <c r="F53" s="3" t="n"/>
    </row>
    <row r="54" hidden="1" outlineLevel="1" ht="27" customHeight="1">
      <c r="A54" s="3" t="n"/>
      <c r="B54" s="3" t="inlineStr">
        <is>
          <t>Using FHSA funds?</t>
        </is>
      </c>
      <c r="C54" s="17" t="inlineStr">
        <is>
          <t>No</t>
        </is>
      </c>
      <c r="D54" s="17" t="inlineStr">
        <is>
          <t>No</t>
        </is>
      </c>
      <c r="E54" s="17" t="inlineStr">
        <is>
          <t>No</t>
        </is>
      </c>
      <c r="F54" s="3" t="n"/>
    </row>
    <row r="55" hidden="1" outlineLevel="1" ht="27" customHeight="1">
      <c r="A55" s="3" t="n"/>
      <c r="B55" s="3" t="inlineStr">
        <is>
          <t>Using HBP funds?</t>
        </is>
      </c>
      <c r="C55" s="17" t="inlineStr">
        <is>
          <t>No</t>
        </is>
      </c>
      <c r="D55" s="17" t="inlineStr">
        <is>
          <t>No</t>
        </is>
      </c>
      <c r="E55" s="17" t="inlineStr">
        <is>
          <t>No</t>
        </is>
      </c>
      <c r="F55" s="3" t="n"/>
    </row>
    <row r="56" hidden="1" outlineLevel="1" ht="27" customHeight="1">
      <c r="A56" s="3" t="n"/>
      <c r="B56" s="3" t="inlineStr">
        <is>
          <t>HBP repayment / month</t>
        </is>
      </c>
      <c r="C56" s="36" t="n">
        <v>0</v>
      </c>
      <c r="D56" s="36" t="n">
        <v>0</v>
      </c>
      <c r="E56" s="36" t="n">
        <v>0</v>
      </c>
      <c r="F56" s="3" t="n"/>
    </row>
    <row r="57" hidden="1" outlineLevel="1" ht="27" customHeight="1">
      <c r="A57" s="3" t="n"/>
      <c r="B57" s="3" t="inlineStr">
        <is>
          <t>Repayment begins / model month</t>
        </is>
      </c>
      <c r="C57" s="17" t="n">
        <v>37</v>
      </c>
      <c r="D57" s="17" t="n">
        <v>37</v>
      </c>
      <c r="E57" s="17" t="n">
        <v>37</v>
      </c>
      <c r="F57" s="3" t="n"/>
    </row>
    <row r="58" hidden="1" outlineLevel="1" ht="27" customHeight="1">
      <c r="A58" s="3" t="n"/>
      <c r="B58" s="3" t="inlineStr">
        <is>
          <t>Destination province / territory</t>
        </is>
      </c>
      <c r="C58" s="17" t="inlineStr">
        <is>
          <t>British Columbia</t>
        </is>
      </c>
      <c r="D58" s="17" t="inlineStr">
        <is>
          <t>British Columbia</t>
        </is>
      </c>
      <c r="E58" s="17" t="inlineStr">
        <is>
          <t>Alberta</t>
        </is>
      </c>
      <c r="F58" s="3" t="n"/>
    </row>
    <row r="59" collapsed="1" ht="30" customHeight="1">
      <c r="A59" s="3" t="n"/>
      <c r="B59" s="4" t="inlineStr">
        <is>
          <t>Optional buyer programmes and location above: expand +.</t>
        </is>
      </c>
    </row>
    <row r="60" ht="25" customHeight="1">
      <c r="A60" s="3" t="n"/>
      <c r="B60" s="12" t="inlineStr">
        <is>
          <t>PURCHASE CALCULATIONS / EXPAND + TO SEE THE WORK</t>
        </is>
      </c>
    </row>
    <row r="61" hidden="1" outlineLevel="1" ht="27" customHeight="1">
      <c r="A61" s="3" t="n"/>
      <c r="B61" s="3" t="inlineStr">
        <is>
          <t>Purchase month</t>
        </is>
      </c>
      <c r="C61" s="3">
        <f>IF(C36="Rent",61,IF(C36="Buy",1,(C40-1)*12+1))</f>
        <v>61</v>
      </c>
      <c r="D61" s="3">
        <f>IF(D36="Rent",61,IF(D36="Buy",1,(D40-1)*12+1))</f>
        <v>1</v>
      </c>
      <c r="E61" s="3">
        <f>IF(E36="Rent",61,IF(E36="Buy",1,(E40-1)*12+1))</f>
        <v>25</v>
      </c>
      <c r="F61" s="3" t="n"/>
    </row>
    <row r="62" hidden="1" outlineLevel="1" ht="27" customHeight="1">
      <c r="A62" s="3" t="n"/>
      <c r="B62" s="3" t="inlineStr">
        <is>
          <t>Monthly mortgage interest rate</t>
        </is>
      </c>
      <c r="C62" s="39">
        <f>(1+C43/2)^(1/6)-1</f>
        <v>0.0037153195748072</v>
      </c>
      <c r="D62" s="39">
        <f>(1+D43/2)^(1/6)-1</f>
        <v>0.0037153195748072</v>
      </c>
      <c r="E62" s="39">
        <f>(1+E43/2)^(1/6)-1</f>
        <v>0.0037153195748072</v>
      </c>
      <c r="F62" s="3" t="n"/>
    </row>
    <row r="63" hidden="1" outlineLevel="1" ht="27" customHeight="1">
      <c r="A63" s="3" t="n"/>
      <c r="B63" s="3" t="inlineStr">
        <is>
          <t>Initial mortgage balance</t>
        </is>
      </c>
      <c r="C63" s="33">
        <f>IF(C36="Rent",0,C41-C42+C67)</f>
        <v>0</v>
      </c>
      <c r="D63" s="33">
        <f>IF(D36="Rent",0,D41-D42+D67)</f>
        <v>400000</v>
      </c>
      <c r="E63" s="33">
        <f>IF(E36="Rent",0,E41-E42+E67)</f>
        <v>336000</v>
      </c>
      <c r="F63" s="3" t="n"/>
    </row>
    <row r="64" hidden="1" outlineLevel="1" ht="27" customHeight="1">
      <c r="A64" s="3" t="n"/>
      <c r="B64" s="3" t="inlineStr">
        <is>
          <t>Scheduled mortgage payment</t>
        </is>
      </c>
      <c r="C64" s="33">
        <f>IF(C36="Rent",0,IF(C44&lt;=0,0,IF(C62=0,C63/(C44*12),C63*C62/(1-(1+C62)^(-C44*12)))))</f>
        <v>0</v>
      </c>
      <c r="D64" s="33">
        <f>IF(D36="Rent",0,IF(D44&lt;=0,0,IF(D62=0,D63/(D44*12),D63*D62/(1-(1+D62)^(-D44*12)))))</f>
        <v>2213.89181714195</v>
      </c>
      <c r="E64" s="33">
        <f>IF(E36="Rent",0,IF(E44&lt;=0,0,IF(E62=0,E63/(E44*12),E63*E62/(1-(1+E62)^(-E44*12)))))</f>
        <v>1859.66912639924</v>
      </c>
      <c r="F64" s="3" t="n"/>
    </row>
    <row r="65" hidden="1" outlineLevel="1" ht="27" customHeight="1">
      <c r="A65" s="3" t="n"/>
      <c r="B65" s="3" t="inlineStr">
        <is>
          <t>Closing cost allowance</t>
        </is>
      </c>
      <c r="C65" s="33">
        <f>IF(C36="Rent",0,C41*$C$22+C68)</f>
        <v>0</v>
      </c>
      <c r="D65" s="33">
        <f>IF(D36="Rent",0,D41*$C$22+D68)</f>
        <v>5000</v>
      </c>
      <c r="E65" s="33">
        <f>IF(E36="Rent",0,E41*$C$22+E68)</f>
        <v>5060</v>
      </c>
      <c r="F65" s="3" t="n"/>
    </row>
    <row r="66" hidden="1" outlineLevel="1" ht="58" customHeight="1">
      <c r="A66" s="3" t="n"/>
      <c r="B66" s="3" t="inlineStr">
        <is>
          <t>Relevant prompt</t>
        </is>
      </c>
      <c r="C66" s="4" t="str">
        <f>IF(C36="Rent","Owner inputs are ignored.",IF(OR(C41&lt;=0,C42&gt;C41,C44&lt;=0),"Correct the price, down payment or amortization.",IF(C42&lt;C69,"Down payment is below the Canadian minimum of "&amp;TEXT(C69,"$#,##0")&amp;".",IF(AND(C42&lt;C41*0.2,C44&gt;IF(C53="Yes",30,25)),"Insured mortgages max out at 25 years (30 for first-time buyers).",IF(AND(C42&lt;C41*0.2,C52=""),"Mortgage insurance estimated at "&amp;TEXT(C67,"$#,##0")&amp;". Replace it with your lender quote.",IF(AND(OR(C36="Rent then buy",C36="Buy"),AND(IF(C58="",$C$14,C58)&lt;&gt;"British Columbia",IF(C58="",$C$14,C58)&lt;&gt;"Ontario",IF(C58="",$C$14,C58)&lt;&gt;"Alberta")),"Add "&amp;IF(C58="",$C$14,C58)&amp;" land transfer tax to other closing costs.",IF(C55="Yes","Enter your HBP repayment amount and start month.",IF(C54="Yes","Count FHSA savings in starting investments, not as extra money.","Check closing costs, building costs and lender terms."))))))))</f>
        <v>Owner inputs are ignored.</v>
      </c>
      <c r="D66" s="4" t="str">
        <f>IF(D36="Rent","Owner inputs are ignored.",IF(OR(D41&lt;=0,D42&gt;D41,D44&lt;=0),"Correct the price, down payment or amortization.",IF(D42&lt;D69,"Down payment is below the Canadian minimum of "&amp;TEXT(D69,"$#,##0")&amp;".",IF(AND(D42&lt;D41*0.2,D44&gt;IF(D53="Yes",30,25)),"Insured mortgages max out at 25 years (30 for first-time buyers).",IF(AND(D42&lt;D41*0.2,D52=""),"Mortgage insurance estimated at "&amp;TEXT(D67,"$#,##0")&amp;". Replace it with your lender quote.",IF(AND(OR(D36="Rent then buy",D36="Buy"),AND(IF(D58="",$C$14,D58)&lt;&gt;"British Columbia",IF(D58="",$C$14,D58)&lt;&gt;"Ontario",IF(D58="",$C$14,D58)&lt;&gt;"Alberta")),"Add "&amp;IF(D58="",$C$14,D58)&amp;" land transfer tax to other closing costs.",IF(D55="Yes","Enter your HBP repayment amount and start month.",IF(D54="Yes","Count FHSA savings in starting investments, not as extra money.","Check closing costs, building costs and lender terms."))))))))</f>
        <v>Check closing costs, building costs and lender terms.</v>
      </c>
      <c r="E66" s="4" t="str">
        <f>IF(E36="Rent","Owner inputs are ignored.",IF(OR(E41&lt;=0,E42&gt;E41,E44&lt;=0),"Correct the price, down payment or amortization.",IF(E42&lt;E69,"Down payment is below the Canadian minimum of "&amp;TEXT(E69,"$#,##0")&amp;".",IF(AND(E42&lt;E41*0.2,E44&gt;IF(E53="Yes",30,25)),"Insured mortgages max out at 25 years (30 for first-time buyers).",IF(AND(E42&lt;E41*0.2,E52=""),"Mortgage insurance estimated at "&amp;TEXT(E67,"$#,##0")&amp;". Replace it with your lender quote.",IF(AND(OR(E36="Rent then buy",E36="Buy"),AND(IF(E58="",$C$14,E58)&lt;&gt;"British Columbia",IF(E58="",$C$14,E58)&lt;&gt;"Ontario",IF(E58="",$C$14,E58)&lt;&gt;"Alberta")),"Add "&amp;IF(E58="",$C$14,E58)&amp;" land transfer tax to other closing costs.",IF(E55="Yes","Enter your HBP repayment amount and start month.",IF(E54="Yes","Count FHSA savings in starting investments, not as extra money.","Check closing costs, building costs and lender terms."))))))))</f>
        <v>Check closing costs, building costs and lender terms.</v>
      </c>
      <c r="F66" s="3" t="n"/>
    </row>
    <row r="67" hidden="1" outlineLevel="1" ht="27" customHeight="1">
      <c r="A67" s="3" t="n"/>
      <c r="B67" s="3" t="inlineStr">
        <is>
          <t>Mortgage insurance premium (estimate)</t>
        </is>
      </c>
      <c r="C67" s="33">
        <f>IF(C36="Rent",0,IF(C52&lt;&gt;"",C52,IF(OR(C41&lt;=0,C41&gt;=1500000,C42&gt;=C41*0.2),0,(C41-C42)*IF((C41-C42)/C41&lt;=0.85,0.028,IF((C41-C42)/C41&lt;=0.9,0.031,0.04)))))</f>
        <v>0</v>
      </c>
      <c r="D67" s="33">
        <f>IF(D36="Rent",0,IF(D52&lt;&gt;"",D52,IF(OR(D41&lt;=0,D41&gt;=1500000,D42&gt;=D41*0.2),0,(D41-D42)*IF((D41-D42)/D41&lt;=0.85,0.028,IF((D41-D42)/D41&lt;=0.9,0.031,0.04)))))</f>
        <v>0</v>
      </c>
      <c r="E67" s="33">
        <f>IF(E36="Rent",0,IF(E52&lt;&gt;"",E52,IF(OR(E41&lt;=0,E41&gt;=1500000,E42&gt;=E41*0.2),0,(E41-E42)*IF((E41-E42)/E41&lt;=0.85,0.028,IF((E41-E42)/E41&lt;=0.9,0.031,0.04)))))</f>
        <v>0</v>
      </c>
      <c r="F67" s="3" t="n"/>
    </row>
    <row r="68" hidden="1" outlineLevel="1" ht="27" customHeight="1">
      <c r="A68" s="3" t="n"/>
      <c r="B68" s="3" t="inlineStr">
        <is>
          <t>Land transfer tax + title fees (estimate)</t>
        </is>
      </c>
      <c r="C68" s="33">
        <f>IF(OR(C36="Rent",C41&lt;=0),0,IF(IF(C58="",$C$14,C58)="British Columbia",(MIN(C41,200000)*0.01+MAX(0,MIN(C41,2000000)-200000)*0.02+MAX(0,MIN(C41,3000000)-2000000)*0.03+MAX(0,C41-3000000)*0.05)-IF(C53="Yes",IF(C41&lt;=500000,(MIN(C41,200000)*0.01+MAX(0,MIN(C41,2000000)-200000)*0.02+MAX(0,MIN(C41,3000000)-2000000)*0.03+MAX(0,C41-3000000)*0.05),IF(C41&lt;=835000,8000,IF(C41&lt;860000,8000*(860000-C41)/25000,0))),0),IF(IF(C58="",$C$14,C58)="Ontario",(MIN(C41,55000)*0.005+MAX(0,MIN(C41,250000)-55000)*0.01+MAX(0,MIN(C41,400000)-250000)*0.015+MAX(0,MIN(C41,2000000)-400000)*0.02+MAX(0,C41-2000000)*0.025)-IF(C53="Yes",MIN(4000,(MIN(C41,55000)*0.005+MAX(0,MIN(C41,250000)-55000)*0.01+MAX(0,MIN(C41,400000)-250000)*0.015+MAX(0,MIN(C41,2000000)-400000)*0.02+MAX(0,C41-2000000)*0.025)),0),IF(IF(C58="",$C$14,C58)="Alberta",(100+5*CEILING(C41/5000,1)+5*CEILING(C63/5000,1)),0))))</f>
        <v>0</v>
      </c>
      <c r="D68" s="33">
        <f>IF(OR(D36="Rent",D41&lt;=0),0,IF(IF(D58="",$C$14,D58)="British Columbia",(MIN(D41,200000)*0.01+MAX(0,MIN(D41,2000000)-200000)*0.02+MAX(0,MIN(D41,3000000)-2000000)*0.03+MAX(0,D41-3000000)*0.05)-IF(D53="Yes",IF(D41&lt;=500000,(MIN(D41,200000)*0.01+MAX(0,MIN(D41,2000000)-200000)*0.02+MAX(0,MIN(D41,3000000)-2000000)*0.03+MAX(0,D41-3000000)*0.05),IF(D41&lt;=835000,8000,IF(D41&lt;860000,8000*(860000-D41)/25000,0))),0),IF(IF(D58="",$C$14,D58)="Ontario",(MIN(D41,55000)*0.005+MAX(0,MIN(D41,250000)-55000)*0.01+MAX(0,MIN(D41,400000)-250000)*0.015+MAX(0,MIN(D41,2000000)-400000)*0.02+MAX(0,D41-2000000)*0.025)-IF(D53="Yes",MIN(4000,(MIN(D41,55000)*0.005+MAX(0,MIN(D41,250000)-55000)*0.01+MAX(0,MIN(D41,400000)-250000)*0.015+MAX(0,MIN(D41,2000000)-400000)*0.02+MAX(0,D41-2000000)*0.025)),0),IF(IF(D58="",$C$14,D58)="Alberta",(100+5*CEILING(D41/5000,1)+5*CEILING(D63/5000,1)),0))))</f>
        <v>0</v>
      </c>
      <c r="E68" s="33">
        <f>IF(OR(E36="Rent",E41&lt;=0),0,IF(IF(E58="",$C$14,E58)="British Columbia",(MIN(E41,200000)*0.01+MAX(0,MIN(E41,2000000)-200000)*0.02+MAX(0,MIN(E41,3000000)-2000000)*0.03+MAX(0,E41-3000000)*0.05)-IF(E53="Yes",IF(E41&lt;=500000,(MIN(E41,200000)*0.01+MAX(0,MIN(E41,2000000)-200000)*0.02+MAX(0,MIN(E41,3000000)-2000000)*0.03+MAX(0,E41-3000000)*0.05),IF(E41&lt;=835000,8000,IF(E41&lt;860000,8000*(860000-E41)/25000,0))),0),IF(IF(E58="",$C$14,E58)="Ontario",(MIN(E41,55000)*0.005+MAX(0,MIN(E41,250000)-55000)*0.01+MAX(0,MIN(E41,400000)-250000)*0.015+MAX(0,MIN(E41,2000000)-400000)*0.02+MAX(0,E41-2000000)*0.025)-IF(E53="Yes",MIN(4000,(MIN(E41,55000)*0.005+MAX(0,MIN(E41,250000)-55000)*0.01+MAX(0,MIN(E41,400000)-250000)*0.015+MAX(0,MIN(E41,2000000)-400000)*0.02+MAX(0,E41-2000000)*0.025)),0),IF(IF(E58="",$C$14,E58)="Alberta",(100+5*CEILING(E41/5000,1)+5*CEILING(E63/5000,1)),0))))</f>
        <v>860</v>
      </c>
      <c r="F68" s="3" t="n"/>
    </row>
    <row r="69" hidden="1" outlineLevel="1" ht="27" customHeight="1">
      <c r="A69" s="3" t="n"/>
      <c r="B69" s="3" t="inlineStr">
        <is>
          <t>Minimum down payment (Canada)</t>
        </is>
      </c>
      <c r="C69" s="33">
        <f>IF(OR(C36="Rent",C41&lt;=0),0,IF(C41&gt;=1500000,C41*0.2,MIN(C41,500000)*0.05+MAX(0,C41-500000)*0.1))</f>
        <v>0</v>
      </c>
      <c r="D69" s="33">
        <f>IF(OR(D36="Rent",D41&lt;=0),0,IF(D41&gt;=1500000,D41*0.2,MIN(D41,500000)*0.05+MAX(0,D41-500000)*0.1))</f>
        <v>25000</v>
      </c>
      <c r="E69" s="33">
        <f>IF(OR(E36="Rent",E41&lt;=0),0,IF(E41&gt;=1500000,E41*0.2,MIN(E41,500000)*0.05+MAX(0,E41-500000)*0.1))</f>
        <v>21000</v>
      </c>
      <c r="F69" s="3" t="n"/>
    </row>
    <row r="70" collapsed="1" ht="27" customHeight="1">
      <c r="A70" s="3" t="n"/>
      <c r="B70" s="3" t="inlineStr">
        <is>
          <t>Input status</t>
        </is>
      </c>
      <c r="C70" s="3" t="str">
        <f>IF(OR(COUNT($C$7:$C$12)&lt;6,COUNT($C$18:$C$24)&lt;7,C35="",C36=""),"Complete setup",IF(AND(C36&lt;&gt;"Buy",C37=""),"Enter rent",IF(AND(C36&lt;&gt;"Rent",OR(COUNT(C41:C47)&lt;7,C41&lt;=0,C42&gt;C41,C44&lt;=0,C42&lt;C69,AND(C42&lt;C41*0.2,C44&gt;IF(C53="Yes",30,25)))),"Check purchase inputs",IF(AND(C36="Rent then buy",OR(C40&lt;1,C40&gt;5)),"Choose purchase year","Ready"))))</f>
        <v>Ready</v>
      </c>
      <c r="D70" s="3" t="str">
        <f>IF(OR(COUNT($C$7:$C$12)&lt;6,COUNT($C$18:$C$24)&lt;7,D35="",D36=""),"Complete setup",IF(AND(D36&lt;&gt;"Buy",D37=""),"Enter rent",IF(AND(D36&lt;&gt;"Rent",OR(COUNT(D41:D47)&lt;7,D41&lt;=0,D42&gt;D41,D44&lt;=0,D42&lt;D69,AND(D42&lt;D41*0.2,D44&gt;IF(D53="Yes",30,25)))),"Check purchase inputs",IF(AND(D36="Rent then buy",OR(D40&lt;1,D40&gt;5)),"Choose purchase year","Ready"))))</f>
        <v>Ready</v>
      </c>
      <c r="E70" s="3" t="str">
        <f>IF(OR(COUNT($C$7:$C$12)&lt;6,COUNT($C$18:$C$24)&lt;7,E35="",E36=""),"Complete setup",IF(AND(E36&lt;&gt;"Buy",E37=""),"Enter rent",IF(AND(E36&lt;&gt;"Rent",OR(COUNT(E41:E47)&lt;7,E41&lt;=0,E42&gt;E41,E44&lt;=0,E42&lt;E69,AND(E42&lt;E41*0.2,E44&gt;IF(E53="Yes",30,25)))),"Check purchase inputs",IF(AND(E36="Rent then buy",OR(E40&lt;1,E40&gt;5)),"Choose purchase year","Ready"))))</f>
        <v>Ready</v>
      </c>
      <c r="F70" s="3" t="n"/>
    </row>
    <row r="71" ht="48" customHeight="1">
      <c r="A71" s="3" t="n"/>
      <c r="B71" s="7" t="inlineStr">
        <is>
          <t>Cash funds the down payment and closing costs first, then investments are sold if needed. No withdrawal tax is modelled. If both are insufficient, negative cash flags the funding gap.</t>
        </is>
      </c>
    </row>
    <row r="72" ht="27" customHeight="1">
      <c r="A72" s="3" t="n"/>
      <c r="B72" s="3" t="n"/>
      <c r="C72" s="3" t="n"/>
      <c r="D72" s="3" t="n"/>
      <c r="E72" s="3" t="n"/>
      <c r="F72" s="3" t="n"/>
    </row>
    <row r="73" ht="27" customHeight="1">
      <c r="A73" s="3" t="n"/>
      <c r="B73" s="3" t="n"/>
      <c r="C73" s="3" t="n"/>
      <c r="D73" s="3" t="n"/>
      <c r="E73" s="3" t="n"/>
      <c r="F73" s="3" t="n"/>
    </row>
    <row r="74" ht="48" customHeight="1">
      <c r="A74" s="3" t="n"/>
      <c r="B74" s="7" t="inlineStr">
        <is>
          <t>Mortgage: monthly payments, Canadian semi-annual compounding, constant quoted rate. Under 20% down, the CMHC premium is estimated and added to the mortgage (2.80% / 3.10% / 4.00% of the loan). Provincial sales tax on the premium, where it applies, is not included.</t>
        </is>
      </c>
    </row>
    <row r="75" ht="27" customHeight="1">
      <c r="A75" s="3" t="n"/>
      <c r="B75" s="3" t="n"/>
      <c r="C75" s="3" t="n"/>
      <c r="D75" s="3" t="n"/>
      <c r="E75" s="3" t="n"/>
      <c r="F75" s="3" t="n"/>
    </row>
    <row r="76" ht="27" customHeight="1">
      <c r="A76" s="3" t="n"/>
      <c r="B76" s="3" t="n"/>
      <c r="C76" s="3" t="n"/>
      <c r="D76" s="3" t="n"/>
      <c r="E76" s="3" t="n"/>
      <c r="F76" s="3" t="n"/>
    </row>
    <row r="77" ht="48" customHeight="1">
      <c r="A77" s="3" t="n"/>
      <c r="B77" s="7" t="inlineStr">
        <is>
          <t>Land transfer tax is estimated for BC (with the first-time buyer exemption), Ontario (with the $4,000 first-time refund, no Toronto municipal tax) and Alberta (title registration fees). Other provinces: add it to other closing costs. Other closing costs default to 1% for legal, inspection and adjustments. Leftover cash earns the cash savings rate.</t>
        </is>
      </c>
    </row>
    <row r="78" ht="27" customHeight="1">
      <c r="A78" s="3" t="n"/>
      <c r="B78" s="3" t="n"/>
      <c r="C78" s="3" t="n"/>
      <c r="D78" s="3" t="n"/>
      <c r="E78" s="3" t="n"/>
      <c r="F78" s="3" t="n"/>
    </row>
    <row r="79" ht="27" customHeight="1">
      <c r="A79" s="3" t="n"/>
      <c r="B79" s="3" t="n"/>
      <c r="C79" s="3" t="n"/>
      <c r="D79" s="3" t="n"/>
      <c r="E79" s="3" t="n"/>
      <c r="F79" s="3" t="n"/>
    </row>
    <row r="80" ht="50" customHeight="1">
      <c r="A80" s="3" t="n"/>
      <c r="B80" s="7" t="inlineStr">
        <is>
          <t>HBP: current withdrawal limit $60,000. FHSA: first-year participation room $8,000. Eligibility rules apply. Program toggles provide prompts only; enter real balances and repayments, without adding the funds twice.</t>
        </is>
      </c>
    </row>
    <row r="81" ht="27" customHeight="1">
      <c r="A81" s="3" t="n"/>
      <c r="B81" s="3" t="n"/>
      <c r="C81" s="3" t="n"/>
      <c r="D81" s="3" t="n"/>
      <c r="E81" s="3" t="n"/>
      <c r="F81" s="3" t="n"/>
    </row>
    <row r="82" ht="44" customHeight="1">
      <c r="A82" s="3" t="n"/>
      <c r="B82" s="7" t="inlineStr">
        <is>
          <t>All money uses the full household amount. Household size only divides the per-person flexibility result. Changes in household income or expenses belong in rows 48 and 49.</t>
        </is>
      </c>
    </row>
    <row r="83" ht="27" customHeight="1">
      <c r="A83" s="3" t="n"/>
      <c r="B83" s="3" t="n"/>
      <c r="C83" s="3" t="n"/>
      <c r="D83" s="3" t="n"/>
      <c r="E83" s="3" t="n"/>
      <c r="F83" s="3" t="n"/>
    </row>
    <row r="84">
      <c r="A84" s="3" t="n"/>
      <c r="B84" s="3" t="n"/>
      <c r="C84" s="3" t="n"/>
      <c r="D84" s="3" t="n"/>
      <c r="E84" s="3" t="n"/>
      <c r="F84" s="3" t="n"/>
    </row>
    <row r="85" ht="25" customHeight="1">
      <c r="A85" s="3" t="n"/>
      <c r="B85" s="12" t="inlineStr">
        <is>
          <t>OPTIONAL / THE LIFE THAT COMES WITH EACH PATH</t>
        </is>
      </c>
    </row>
    <row r="86">
      <c r="A86" s="3" t="n"/>
      <c r="B86" s="3" t="n"/>
      <c r="C86" s="3" t="n"/>
      <c r="D86" s="3" t="n"/>
      <c r="E86" s="3" t="n"/>
      <c r="F86" s="3" t="n"/>
    </row>
    <row r="87" ht="58" customHeight="1">
      <c r="A87" s="3" t="n"/>
      <c r="B87" s="4" t="inlineStr">
        <is>
          <t>What does an ordinary week look like on this path?</t>
        </is>
      </c>
      <c r="C87" s="31" t="str"/>
      <c r="D87" s="31" t="str"/>
      <c r="E87" s="31" t="str"/>
      <c r="F87" s="3" t="n"/>
    </row>
    <row r="88" ht="58" customHeight="1">
      <c r="A88" s="3" t="n"/>
      <c r="B88" s="4" t="inlineStr">
        <is>
          <t>Who or what would be closer, or farther away?</t>
        </is>
      </c>
      <c r="C88" s="31" t="str"/>
      <c r="D88" s="31" t="str"/>
      <c r="E88" s="31" t="str"/>
      <c r="F88" s="3" t="n"/>
    </row>
    <row r="89" ht="58" customHeight="1">
      <c r="A89" s="3" t="n"/>
      <c r="B89" s="4" t="inlineStr">
        <is>
          <t>How much freedom would I have to change plans?</t>
        </is>
      </c>
      <c r="C89" s="31" t="str"/>
      <c r="D89" s="31" t="str"/>
      <c r="E89" s="31" t="str"/>
      <c r="F89" s="3" t="n"/>
    </row>
    <row r="90">
      <c r="A90" s="3" t="n"/>
      <c r="B90" s="3" t="n"/>
      <c r="C90" s="3" t="n"/>
      <c r="D90" s="3" t="n"/>
      <c r="E90" s="3" t="n"/>
      <c r="F90" s="3" t="n"/>
    </row>
  </sheetData>
  <mergeCells count="13">
    <mergeCell ref="B82:F82"/>
    <mergeCell ref="B77:F77"/>
    <mergeCell ref="B2:F2"/>
    <mergeCell ref="B16:F16"/>
    <mergeCell ref="B33:F33"/>
    <mergeCell ref="B3:F3"/>
    <mergeCell ref="B5:F5"/>
    <mergeCell ref="B60:F60"/>
    <mergeCell ref="B80:F80"/>
    <mergeCell ref="B59:F59"/>
    <mergeCell ref="B85:F85"/>
    <mergeCell ref="B71:F71"/>
    <mergeCell ref="B74:F74"/>
  </mergeCells>
  <conditionalFormatting sqref="C40:C47">
    <cfRule type="expression" priority="1" dxfId="1">
      <formula>C$36="Rent"</formula>
    </cfRule>
  </conditionalFormatting>
  <conditionalFormatting sqref="D40:D47">
    <cfRule type="expression" priority="2" dxfId="1">
      <formula>D$36="Rent"</formula>
    </cfRule>
  </conditionalFormatting>
  <conditionalFormatting sqref="E40:E47">
    <cfRule type="expression" priority="3" dxfId="1">
      <formula>E$36="Rent"</formula>
    </cfRule>
  </conditionalFormatting>
  <dataValidations count="89">
    <dataValidation sqref="C7" showDropDown="0" showInputMessage="0" showErrorMessage="0" allowBlank="0" type="decimal" operator="between">
      <formula1>0</formula1>
      <formula2>1000000000</formula2>
    </dataValidation>
    <dataValidation sqref="C8" showDropDown="0" showInputMessage="0" showErrorMessage="0" allowBlank="0" type="decimal" operator="between">
      <formula1>0</formula1>
      <formula2>1000000000</formula2>
    </dataValidation>
    <dataValidation sqref="C9" showDropDown="0" showInputMessage="0" showErrorMessage="0" allowBlank="0" type="decimal" operator="between">
      <formula1>0</formula1>
      <formula2>1000000000</formula2>
    </dataValidation>
    <dataValidation sqref="C10" showDropDown="0" showInputMessage="0" showErrorMessage="0" allowBlank="0" type="decimal" operator="between">
      <formula1>0</formula1>
      <formula2>1000000000</formula2>
    </dataValidation>
    <dataValidation sqref="C11" showDropDown="0" showInputMessage="0" showErrorMessage="0" allowBlank="0" type="decimal" operator="between">
      <formula1>0</formula1>
      <formula2>1000000000</formula2>
    </dataValidation>
    <dataValidation sqref="C12" showDropDown="0" showInputMessage="0" showErrorMessage="0" allowBlank="0" type="decimal" operator="between">
      <formula1>0</formula1>
      <formula2>1000000000</formula2>
    </dataValidation>
    <dataValidation sqref="C13" showDropDown="0" showInputMessage="0" showErrorMessage="0" allowBlank="0" type="decimal" operator="between">
      <formula1>0</formula1>
      <formula2>20</formula2>
    </dataValidation>
    <dataValidation sqref="C14" showDropDown="0" showInputMessage="0" showErrorMessage="0" allowBlank="0" type="list">
      <formula1>"British Columbia,Alberta,Saskatchewan,Manitoba,Ontario,Quebec,New Brunswick,Nova Scotia,Prince Edward Island,Newfoundland and Labrador,Yukon,Northwest Territories,Nunavut"</formula1>
    </dataValidation>
    <dataValidation sqref="C18" showDropDown="0" showInputMessage="0" showErrorMessage="0" allowBlank="0" type="decimal" operator="between">
      <formula1>-0.99</formula1>
      <formula2>1</formula2>
    </dataValidation>
    <dataValidation sqref="C19" showDropDown="0" showInputMessage="0" showErrorMessage="0" allowBlank="0" type="decimal" operator="between">
      <formula1>-0.99</formula1>
      <formula2>1</formula2>
    </dataValidation>
    <dataValidation sqref="C20" showDropDown="0" showInputMessage="0" showErrorMessage="0" allowBlank="0" type="decimal" operator="between">
      <formula1>-0.99</formula1>
      <formula2>1</formula2>
    </dataValidation>
    <dataValidation sqref="C21" showDropDown="0" showInputMessage="0" showErrorMessage="0" allowBlank="0" type="decimal" operator="between">
      <formula1>-0.99</formula1>
      <formula2>1</formula2>
    </dataValidation>
    <dataValidation sqref="C22" showDropDown="0" showInputMessage="0" showErrorMessage="0" allowBlank="0" type="decimal" operator="between">
      <formula1>0</formula1>
      <formula2>1</formula2>
    </dataValidation>
    <dataValidation sqref="C23" showDropDown="0" showInputMessage="0" showErrorMessage="0" allowBlank="0" type="decimal" operator="between">
      <formula1>0</formula1>
      <formula2>1</formula2>
    </dataValidation>
    <dataValidation sqref="C24" showDropDown="0" showInputMessage="0" showErrorMessage="0" allowBlank="0" type="decimal" operator="between">
      <formula1>-0.99</formula1>
      <formula2>1</formula2>
    </dataValidation>
    <dataValidation sqref="C25" showDropDown="0" showInputMessage="0" showErrorMessage="0" allowBlank="0" type="list">
      <formula1>"Yes,No"</formula1>
    </dataValidation>
    <dataValidation sqref="C26" showDropDown="0" showInputMessage="0" showErrorMessage="0" allowBlank="0" type="decimal" operator="between">
      <formula1>-0.99</formula1>
      <formula2>1</formula2>
    </dataValidation>
    <dataValidation sqref="C27" showDropDown="0" showInputMessage="0" showErrorMessage="0" allowBlank="0" type="list">
      <formula1>"Yes,No"</formula1>
    </dataValidation>
    <dataValidation sqref="C28" showDropDown="0" showInputMessage="0" showErrorMessage="0" allowBlank="0" type="list">
      <formula1>"Yes,No"</formula1>
    </dataValidation>
    <dataValidation sqref="C36" showDropDown="0" showInputMessage="0" showErrorMessage="0" allowBlank="0" type="list">
      <formula1>"Rent,Buy,Rent then buy"</formula1>
    </dataValidation>
    <dataValidation sqref="C37" showDropDown="0" showInputMessage="0" showErrorMessage="0" allowBlank="0" type="decimal" operator="between">
      <formula1>0</formula1>
      <formula2>1000000000</formula2>
    </dataValidation>
    <dataValidation sqref="C38" showDropDown="0" showInputMessage="0" showErrorMessage="0" allowBlank="0" type="decimal" operator="between">
      <formula1>0</formula1>
      <formula2>1000000000</formula2>
    </dataValidation>
    <dataValidation sqref="C39" showDropDown="0" showInputMessage="0" showErrorMessage="0" allowBlank="0" type="decimal" operator="between">
      <formula1>0</formula1>
      <formula2>1000000000</formula2>
    </dataValidation>
    <dataValidation sqref="C40" showDropDown="0" showInputMessage="0" showErrorMessage="0" allowBlank="0" type="whole" operator="between">
      <formula1>1</formula1>
      <formula2>5</formula2>
    </dataValidation>
    <dataValidation sqref="C41" showDropDown="0" showInputMessage="0" showErrorMessage="0" allowBlank="0" type="decimal" operator="between">
      <formula1>0</formula1>
      <formula2>1000000000</formula2>
    </dataValidation>
    <dataValidation sqref="C42" showDropDown="0" showInputMessage="0" showErrorMessage="0" allowBlank="0" type="decimal" operator="between">
      <formula1>0</formula1>
      <formula2>1000000000</formula2>
    </dataValidation>
    <dataValidation sqref="C43" showDropDown="0" showInputMessage="0" showErrorMessage="0" allowBlank="0" type="decimal" operator="between">
      <formula1>0</formula1>
      <formula2>1</formula2>
    </dataValidation>
    <dataValidation sqref="C44" showDropDown="0" showInputMessage="0" showErrorMessage="0" allowBlank="0" type="whole" operator="between">
      <formula1>1</formula1>
      <formula2>40</formula2>
    </dataValidation>
    <dataValidation sqref="C45" showDropDown="0" showInputMessage="0" showErrorMessage="0" allowBlank="0" type="decimal" operator="between">
      <formula1>0</formula1>
      <formula2>1000000000</formula2>
    </dataValidation>
    <dataValidation sqref="C46" showDropDown="0" showInputMessage="0" showErrorMessage="0" allowBlank="0" type="decimal" operator="between">
      <formula1>0</formula1>
      <formula2>1000000000</formula2>
    </dataValidation>
    <dataValidation sqref="C47" showDropDown="0" showInputMessage="0" showErrorMessage="0" allowBlank="0" type="decimal" operator="between">
      <formula1>0</formula1>
      <formula2>1000000000</formula2>
    </dataValidation>
    <dataValidation sqref="C48" showDropDown="0" showInputMessage="0" showErrorMessage="0" allowBlank="0" type="decimal" operator="between">
      <formula1>-100000000</formula1>
      <formula2>1000000000</formula2>
    </dataValidation>
    <dataValidation sqref="C49" showDropDown="0" showInputMessage="0" showErrorMessage="0" allowBlank="0" type="decimal" operator="between">
      <formula1>-100000000</formula1>
      <formula2>1000000000</formula2>
    </dataValidation>
    <dataValidation sqref="C50" showDropDown="0" showInputMessage="0" showErrorMessage="0" allowBlank="0" type="decimal" operator="between">
      <formula1>0</formula1>
      <formula2>1000000000</formula2>
    </dataValidation>
    <dataValidation sqref="C51" showDropDown="0" showInputMessage="0" showErrorMessage="0" allowBlank="0" type="decimal" operator="between">
      <formula1>0</formula1>
      <formula2>1000000000</formula2>
    </dataValidation>
    <dataValidation sqref="C52" showDropDown="0" showInputMessage="0" showErrorMessage="0" allowBlank="0" type="decimal" operator="between">
      <formula1>0</formula1>
      <formula2>1000000000</formula2>
    </dataValidation>
    <dataValidation sqref="C53" showDropDown="0" showInputMessage="0" showErrorMessage="0" allowBlank="0" type="list">
      <formula1>"Yes,No,Not sure"</formula1>
    </dataValidation>
    <dataValidation sqref="C54" showDropDown="0" showInputMessage="0" showErrorMessage="0" allowBlank="0" type="list">
      <formula1>"Yes,No,Not sure"</formula1>
    </dataValidation>
    <dataValidation sqref="C55" showDropDown="0" showInputMessage="0" showErrorMessage="0" allowBlank="0" type="list">
      <formula1>"Yes,No,Not sure"</formula1>
    </dataValidation>
    <dataValidation sqref="C56" showDropDown="0" showInputMessage="0" showErrorMessage="0" allowBlank="0" type="decimal" operator="between">
      <formula1>0</formula1>
      <formula2>1000000000</formula2>
    </dataValidation>
    <dataValidation sqref="C57" showDropDown="0" showInputMessage="0" showErrorMessage="0" allowBlank="0" type="whole" operator="between">
      <formula1>1</formula1>
      <formula2>120</formula2>
    </dataValidation>
    <dataValidation sqref="C58" showDropDown="0" showInputMessage="0" showErrorMessage="0" allowBlank="0" type="list">
      <formula1>"British Columbia,Alberta,Saskatchewan,Manitoba,Ontario,Quebec,New Brunswick,Nova Scotia,Prince Edward Island,Newfoundland and Labrador,Yukon,Northwest Territories,Nunavut"</formula1>
    </dataValidation>
    <dataValidation sqref="D36" showDropDown="0" showInputMessage="0" showErrorMessage="0" allowBlank="0" type="list">
      <formula1>"Rent,Buy,Rent then buy"</formula1>
    </dataValidation>
    <dataValidation sqref="D37" showDropDown="0" showInputMessage="0" showErrorMessage="0" allowBlank="0" type="decimal" operator="between">
      <formula1>0</formula1>
      <formula2>1000000000</formula2>
    </dataValidation>
    <dataValidation sqref="D38" showDropDown="0" showInputMessage="0" showErrorMessage="0" allowBlank="0" type="decimal" operator="between">
      <formula1>0</formula1>
      <formula2>1000000000</formula2>
    </dataValidation>
    <dataValidation sqref="D39" showDropDown="0" showInputMessage="0" showErrorMessage="0" allowBlank="0" type="decimal" operator="between">
      <formula1>0</formula1>
      <formula2>1000000000</formula2>
    </dataValidation>
    <dataValidation sqref="D40" showDropDown="0" showInputMessage="0" showErrorMessage="0" allowBlank="0" type="whole" operator="between">
      <formula1>1</formula1>
      <formula2>5</formula2>
    </dataValidation>
    <dataValidation sqref="D41" showDropDown="0" showInputMessage="0" showErrorMessage="0" allowBlank="0" type="decimal" operator="between">
      <formula1>0</formula1>
      <formula2>1000000000</formula2>
    </dataValidation>
    <dataValidation sqref="D42" showDropDown="0" showInputMessage="0" showErrorMessage="0" allowBlank="0" type="decimal" operator="between">
      <formula1>0</formula1>
      <formula2>1000000000</formula2>
    </dataValidation>
    <dataValidation sqref="D43" showDropDown="0" showInputMessage="0" showErrorMessage="0" allowBlank="0" type="decimal" operator="between">
      <formula1>0</formula1>
      <formula2>1</formula2>
    </dataValidation>
    <dataValidation sqref="D44" showDropDown="0" showInputMessage="0" showErrorMessage="0" allowBlank="0" type="whole" operator="between">
      <formula1>1</formula1>
      <formula2>40</formula2>
    </dataValidation>
    <dataValidation sqref="D45" showDropDown="0" showInputMessage="0" showErrorMessage="0" allowBlank="0" type="decimal" operator="between">
      <formula1>0</formula1>
      <formula2>1000000000</formula2>
    </dataValidation>
    <dataValidation sqref="D46" showDropDown="0" showInputMessage="0" showErrorMessage="0" allowBlank="0" type="decimal" operator="between">
      <formula1>0</formula1>
      <formula2>1000000000</formula2>
    </dataValidation>
    <dataValidation sqref="D47" showDropDown="0" showInputMessage="0" showErrorMessage="0" allowBlank="0" type="decimal" operator="between">
      <formula1>0</formula1>
      <formula2>1000000000</formula2>
    </dataValidation>
    <dataValidation sqref="D48" showDropDown="0" showInputMessage="0" showErrorMessage="0" allowBlank="0" type="decimal" operator="between">
      <formula1>-100000000</formula1>
      <formula2>1000000000</formula2>
    </dataValidation>
    <dataValidation sqref="D49" showDropDown="0" showInputMessage="0" showErrorMessage="0" allowBlank="0" type="decimal" operator="between">
      <formula1>-100000000</formula1>
      <formula2>1000000000</formula2>
    </dataValidation>
    <dataValidation sqref="D50" showDropDown="0" showInputMessage="0" showErrorMessage="0" allowBlank="0" type="decimal" operator="between">
      <formula1>0</formula1>
      <formula2>1000000000</formula2>
    </dataValidation>
    <dataValidation sqref="D51" showDropDown="0" showInputMessage="0" showErrorMessage="0" allowBlank="0" type="decimal" operator="between">
      <formula1>0</formula1>
      <formula2>1000000000</formula2>
    </dataValidation>
    <dataValidation sqref="D52" showDropDown="0" showInputMessage="0" showErrorMessage="0" allowBlank="0" type="decimal" operator="between">
      <formula1>0</formula1>
      <formula2>1000000000</formula2>
    </dataValidation>
    <dataValidation sqref="D53" showDropDown="0" showInputMessage="0" showErrorMessage="0" allowBlank="0" type="list">
      <formula1>"Yes,No,Not sure"</formula1>
    </dataValidation>
    <dataValidation sqref="D54" showDropDown="0" showInputMessage="0" showErrorMessage="0" allowBlank="0" type="list">
      <formula1>"Yes,No,Not sure"</formula1>
    </dataValidation>
    <dataValidation sqref="D55" showDropDown="0" showInputMessage="0" showErrorMessage="0" allowBlank="0" type="list">
      <formula1>"Yes,No,Not sure"</formula1>
    </dataValidation>
    <dataValidation sqref="D56" showDropDown="0" showInputMessage="0" showErrorMessage="0" allowBlank="0" type="decimal" operator="between">
      <formula1>0</formula1>
      <formula2>1000000000</formula2>
    </dataValidation>
    <dataValidation sqref="D57" showDropDown="0" showInputMessage="0" showErrorMessage="0" allowBlank="0" type="whole" operator="between">
      <formula1>1</formula1>
      <formula2>120</formula2>
    </dataValidation>
    <dataValidation sqref="D58" showDropDown="0" showInputMessage="0" showErrorMessage="0" allowBlank="0" type="list">
      <formula1>"British Columbia,Alberta,Saskatchewan,Manitoba,Ontario,Quebec,New Brunswick,Nova Scotia,Prince Edward Island,Newfoundland and Labrador,Yukon,Northwest Territories,Nunavut"</formula1>
    </dataValidation>
    <dataValidation sqref="E36" showDropDown="0" showInputMessage="0" showErrorMessage="0" allowBlank="0" type="list">
      <formula1>"Rent,Buy,Rent then buy"</formula1>
    </dataValidation>
    <dataValidation sqref="E37" showDropDown="0" showInputMessage="0" showErrorMessage="0" allowBlank="0" type="decimal" operator="between">
      <formula1>0</formula1>
      <formula2>1000000000</formula2>
    </dataValidation>
    <dataValidation sqref="E38" showDropDown="0" showInputMessage="0" showErrorMessage="0" allowBlank="0" type="decimal" operator="between">
      <formula1>0</formula1>
      <formula2>1000000000</formula2>
    </dataValidation>
    <dataValidation sqref="E39" showDropDown="0" showInputMessage="0" showErrorMessage="0" allowBlank="0" type="decimal" operator="between">
      <formula1>0</formula1>
      <formula2>1000000000</formula2>
    </dataValidation>
    <dataValidation sqref="E40" showDropDown="0" showInputMessage="0" showErrorMessage="0" allowBlank="0" type="whole" operator="between">
      <formula1>1</formula1>
      <formula2>5</formula2>
    </dataValidation>
    <dataValidation sqref="E41" showDropDown="0" showInputMessage="0" showErrorMessage="0" allowBlank="0" type="decimal" operator="between">
      <formula1>0</formula1>
      <formula2>1000000000</formula2>
    </dataValidation>
    <dataValidation sqref="E42" showDropDown="0" showInputMessage="0" showErrorMessage="0" allowBlank="0" type="decimal" operator="between">
      <formula1>0</formula1>
      <formula2>1000000000</formula2>
    </dataValidation>
    <dataValidation sqref="E43" showDropDown="0" showInputMessage="0" showErrorMessage="0" allowBlank="0" type="decimal" operator="between">
      <formula1>0</formula1>
      <formula2>1</formula2>
    </dataValidation>
    <dataValidation sqref="E44" showDropDown="0" showInputMessage="0" showErrorMessage="0" allowBlank="0" type="whole" operator="between">
      <formula1>1</formula1>
      <formula2>40</formula2>
    </dataValidation>
    <dataValidation sqref="E45" showDropDown="0" showInputMessage="0" showErrorMessage="0" allowBlank="0" type="decimal" operator="between">
      <formula1>0</formula1>
      <formula2>1000000000</formula2>
    </dataValidation>
    <dataValidation sqref="E46" showDropDown="0" showInputMessage="0" showErrorMessage="0" allowBlank="0" type="decimal" operator="between">
      <formula1>0</formula1>
      <formula2>1000000000</formula2>
    </dataValidation>
    <dataValidation sqref="E47" showDropDown="0" showInputMessage="0" showErrorMessage="0" allowBlank="0" type="decimal" operator="between">
      <formula1>0</formula1>
      <formula2>1000000000</formula2>
    </dataValidation>
    <dataValidation sqref="E48" showDropDown="0" showInputMessage="0" showErrorMessage="0" allowBlank="0" type="decimal" operator="between">
      <formula1>-100000000</formula1>
      <formula2>1000000000</formula2>
    </dataValidation>
    <dataValidation sqref="E49" showDropDown="0" showInputMessage="0" showErrorMessage="0" allowBlank="0" type="decimal" operator="between">
      <formula1>-100000000</formula1>
      <formula2>1000000000</formula2>
    </dataValidation>
    <dataValidation sqref="E50" showDropDown="0" showInputMessage="0" showErrorMessage="0" allowBlank="0" type="decimal" operator="between">
      <formula1>0</formula1>
      <formula2>1000000000</formula2>
    </dataValidation>
    <dataValidation sqref="E51" showDropDown="0" showInputMessage="0" showErrorMessage="0" allowBlank="0" type="decimal" operator="between">
      <formula1>0</formula1>
      <formula2>1000000000</formula2>
    </dataValidation>
    <dataValidation sqref="E52" showDropDown="0" showInputMessage="0" showErrorMessage="0" allowBlank="0" type="decimal" operator="between">
      <formula1>0</formula1>
      <formula2>1000000000</formula2>
    </dataValidation>
    <dataValidation sqref="E53" showDropDown="0" showInputMessage="0" showErrorMessage="0" allowBlank="0" type="list">
      <formula1>"Yes,No,Not sure"</formula1>
    </dataValidation>
    <dataValidation sqref="E54" showDropDown="0" showInputMessage="0" showErrorMessage="0" allowBlank="0" type="list">
      <formula1>"Yes,No,Not sure"</formula1>
    </dataValidation>
    <dataValidation sqref="E55" showDropDown="0" showInputMessage="0" showErrorMessage="0" allowBlank="0" type="list">
      <formula1>"Yes,No,Not sure"</formula1>
    </dataValidation>
    <dataValidation sqref="E56" showDropDown="0" showInputMessage="0" showErrorMessage="0" allowBlank="0" type="decimal" operator="between">
      <formula1>0</formula1>
      <formula2>1000000000</formula2>
    </dataValidation>
    <dataValidation sqref="E57" showDropDown="0" showInputMessage="0" showErrorMessage="0" allowBlank="0" type="whole" operator="between">
      <formula1>1</formula1>
      <formula2>120</formula2>
    </dataValidation>
    <dataValidation sqref="E58" showDropDown="0" showInputMessage="0" showErrorMessage="0" allowBlank="0" type="list">
      <formula1>"British Columbia,Alberta,Saskatchewan,Manitoba,Ontario,Quebec,New Brunswick,Nova Scotia,Prince Edward Island,Newfoundland and Labrador,Yukon,Northwest Territories,Nunavut"</formula1>
    </dataValidation>
    <dataValidation sqref="C29" showDropDown="0" showInputMessage="0" showErrorMessage="0" allowBlank="0" type="decimal" operator="between">
      <formula1>0</formula1>
      <formula2>0.2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5A5F3A"/>
    <outlinePr summaryBelow="1" summaryRight="1"/>
    <pageSetUpPr/>
  </sheetPr>
  <dimension ref="A1:S203"/>
  <sheetViews>
    <sheetView showGridLines="0" tabSelected="0" workbookViewId="0">
      <pane ySplit="6" topLeftCell="A7" activePane="bottomLeft" state="frozen"/>
      <selection activeCell="A1" sqref="A1"/>
    </sheetView>
  </sheetViews>
  <sheetFormatPr baseColWidth="8" defaultRowHeight="15"/>
  <cols>
    <col width="3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9" customWidth="1" min="19" max="19"/>
  </cols>
  <sheetData>
    <row r="1" ht="27" customHeight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</row>
    <row r="2" ht="34" customHeight="1">
      <c r="A2" s="3" t="n"/>
      <c r="B2" s="5" t="inlineStr">
        <is>
          <t>Your monthly calculation</t>
        </is>
      </c>
    </row>
    <row r="3" ht="22" customHeight="1">
      <c r="A3" s="3" t="n"/>
      <c r="B3" s="6" t="inlineStr">
        <is>
          <t>ROOOFREAD  /  HOUSING, WORTH THINKING ABOUT.</t>
        </is>
      </c>
    </row>
    <row r="4" ht="32" customHeight="1">
      <c r="A4" s="3" t="n"/>
      <c r="B4" s="7" t="inlineStr">
        <is>
          <t>Months 0 to 60. Each path uses identical mechanics with its own inputs. Negative cash exposes an unfunded path.</t>
        </is>
      </c>
    </row>
    <row r="5" ht="27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</row>
    <row r="6" ht="27" customHeight="1">
      <c r="A6" s="3" t="n"/>
      <c r="B6" s="23" t="inlineStr">
        <is>
          <t>Month</t>
        </is>
      </c>
      <c r="C6" s="23" t="inlineStr">
        <is>
          <t>Owns home?</t>
        </is>
      </c>
      <c r="D6" s="23" t="inlineStr">
        <is>
          <t>Rent</t>
        </is>
      </c>
      <c r="E6" s="23" t="inlineStr">
        <is>
          <t>Opening loan</t>
        </is>
      </c>
      <c r="F6" s="23" t="inlineStr">
        <is>
          <t>Payment</t>
        </is>
      </c>
      <c r="G6" s="23" t="inlineStr">
        <is>
          <t>Interest</t>
        </is>
      </c>
      <c r="H6" s="23" t="inlineStr">
        <is>
          <t>Closing loan</t>
        </is>
      </c>
      <c r="I6" s="23" t="inlineStr">
        <is>
          <t>Home value</t>
        </is>
      </c>
      <c r="J6" s="23" t="inlineStr">
        <is>
          <t>Housing cost</t>
        </is>
      </c>
      <c r="K6" s="23" t="inlineStr">
        <is>
          <t>Income</t>
        </is>
      </c>
      <c r="L6" s="23" t="inlineStr">
        <is>
          <t>Other costs</t>
        </is>
      </c>
      <c r="M6" s="23" t="inlineStr">
        <is>
          <t>Investing</t>
        </is>
      </c>
      <c r="N6" s="23" t="inlineStr">
        <is>
          <t>Cash</t>
        </is>
      </c>
      <c r="O6" s="23" t="inlineStr">
        <is>
          <t>Investments</t>
        </is>
      </c>
      <c r="P6" s="23" t="inlineStr">
        <is>
          <t>Capital outlay</t>
        </is>
      </c>
      <c r="Q6" s="23" t="inlineStr">
        <is>
          <t>Flexibility</t>
        </is>
      </c>
      <c r="R6" s="23" t="inlineStr">
        <is>
          <t>Investments sold</t>
        </is>
      </c>
      <c r="S6" s="29" t="inlineStr">
        <is>
          <t>Purchase funding gap</t>
        </is>
      </c>
    </row>
    <row r="7" ht="27" customHeight="1">
      <c r="A7" s="3" t="n"/>
      <c r="B7" s="3" t="n">
        <v>0</v>
      </c>
      <c r="C7" s="3" t="n">
        <v>0</v>
      </c>
      <c r="D7" s="33" t="n">
        <v>0</v>
      </c>
      <c r="E7" s="33" t="n">
        <v>0</v>
      </c>
      <c r="F7" s="33" t="n">
        <v>0</v>
      </c>
      <c r="G7" s="33" t="n">
        <v>0</v>
      </c>
      <c r="H7" s="33" t="n">
        <v>0</v>
      </c>
      <c r="I7" s="33" t="n">
        <v>0</v>
      </c>
      <c r="J7" s="33" t="n">
        <v>0</v>
      </c>
      <c r="K7" s="33" t="n">
        <v>0</v>
      </c>
      <c r="L7" s="33" t="n">
        <v>0</v>
      </c>
      <c r="M7" s="33" t="n">
        <v>0</v>
      </c>
      <c r="N7" s="33">
        <f>'Your paths'!$C$7-'Your paths'!C38</f>
        <v>50000</v>
      </c>
      <c r="O7" s="33">
        <f>'Your paths'!$C$8</f>
        <v>80000</v>
      </c>
      <c r="P7" s="33">
        <f>'Your paths'!C38</f>
        <v>0</v>
      </c>
      <c r="Q7" s="33" t="n">
        <v>0</v>
      </c>
      <c r="R7" s="33" t="n">
        <v>0</v>
      </c>
      <c r="S7" s="2" t="n">
        <v>0</v>
      </c>
    </row>
    <row r="8" ht="27" customHeight="1">
      <c r="A8" s="3" t="n"/>
      <c r="B8" s="3" t="n">
        <v>1</v>
      </c>
      <c r="C8" s="3">
        <f>IF(B8&gt;='Your paths'!C61,1,0)</f>
        <v>0</v>
      </c>
      <c r="D8" s="33">
        <f>IF(C8=1,0,'Your paths'!C37*(1+'Your paths'!$C$20)^INT((B8-1)/12))</f>
        <v>2400</v>
      </c>
      <c r="E8" s="33">
        <f>IF(AND(B8='Your paths'!C61,'Your paths'!C36&lt;&gt;"Rent"),'Your paths'!C63,H7)</f>
        <v>0</v>
      </c>
      <c r="F8" s="33">
        <f>IF(C8=1,MIN('Your paths'!C64,E8*(1+'Your paths'!C62)),0)</f>
        <v>0</v>
      </c>
      <c r="G8" s="33">
        <f>E8*'Your paths'!C62</f>
        <v>0</v>
      </c>
      <c r="H8" s="33">
        <f>MAX(0,E8+G8-F8)</f>
        <v>0</v>
      </c>
      <c r="I8" s="33">
        <f>IF(C8=0,0,IF(AND(B8='Your paths'!C61,'Your paths'!C36&lt;&gt;"Rent"),'Your paths'!C41,I7)*(1+'Your paths'!$C$31)^(1/12))</f>
        <v>0</v>
      </c>
      <c r="J8" s="33">
        <f>(D8+F8+IF(C8=1,('Your paths'!C45/12+'Your paths'!C46+'Your paths'!C47)*(1+'Your paths'!$C$21)^INT((B8-1)/12),0))*'Your paths'!$C$32</f>
        <v>2400</v>
      </c>
      <c r="K8" s="33">
        <f>('Your paths'!$C$9+'Your paths'!C49)*(1+'Your paths'!$C$24)^INT((B8-1)/12)</f>
        <v>7000</v>
      </c>
      <c r="L8" s="33">
        <f>('Your paths'!$C$10+'Your paths'!C48)*(1+'Your paths'!$C$21)^INT((B8-1)/12)</f>
        <v>2000</v>
      </c>
      <c r="M8" s="33">
        <f>IF('Your paths'!C39="",'Your paths'!$C$12,'Your paths'!C39)+IF(AND('Your paths'!C55="Yes",C8=1,B8&gt;='Your paths'!C57),'Your paths'!C56,0)</f>
        <v>1000</v>
      </c>
      <c r="N8" s="33">
        <f>N7+MAX(0,N7)*((1+'Your paths'!$C$29)^(1/12)-1)+Q8-P8+R8</f>
        <v>51682.579065096</v>
      </c>
      <c r="O8" s="33">
        <f>(O7-R8)*(1+'Your paths'!$C$30)^(1/12)+M8</f>
        <v>81261.8991825759</v>
      </c>
      <c r="P8" s="33">
        <f>IF(AND(B8='Your paths'!C61,'Your paths'!C36&lt;&gt;"Rent"),'Your paths'!C42+'Your paths'!C65+IF('Your paths'!C36="Rent then buy",'Your paths'!C38,0),0)</f>
        <v>0</v>
      </c>
      <c r="Q8" s="33">
        <f>K8-SUM(J8,L8,M8)</f>
        <v>1600</v>
      </c>
      <c r="R8" s="33">
        <f>IF(P8&gt;0,MIN(MAX(0,P8-N7),MAX(0,O7)),0)</f>
        <v>0</v>
      </c>
      <c r="S8" s="2">
        <f>IF(P8&gt;0,MAX(0,P8-N7-O7),0)</f>
        <v>0</v>
      </c>
    </row>
    <row r="9" ht="27" customHeight="1">
      <c r="A9" s="3" t="n"/>
      <c r="B9" s="3" t="n">
        <v>2</v>
      </c>
      <c r="C9" s="3">
        <f>IF(B9&gt;='Your paths'!C61,1,0)</f>
        <v>0</v>
      </c>
      <c r="D9" s="33">
        <f>IF(C9=1,0,'Your paths'!C37*(1+'Your paths'!$C$20)^INT((B9-1)/12))</f>
        <v>2400</v>
      </c>
      <c r="E9" s="33">
        <f>IF(AND(B9='Your paths'!C61,'Your paths'!C36&lt;&gt;"Rent"),'Your paths'!C63,H8)</f>
        <v>0</v>
      </c>
      <c r="F9" s="33">
        <f>IF(C9=1,MIN('Your paths'!C64,E9*(1+'Your paths'!C62)),0)</f>
        <v>0</v>
      </c>
      <c r="G9" s="33">
        <f>E9*'Your paths'!C62</f>
        <v>0</v>
      </c>
      <c r="H9" s="33">
        <f>MAX(0,E9+G9-F9)</f>
        <v>0</v>
      </c>
      <c r="I9" s="33">
        <f>IF(C9=0,0,IF(AND(B9='Your paths'!C61,'Your paths'!C36&lt;&gt;"Rent"),'Your paths'!C41,I8)*(1+'Your paths'!$C$31)^(1/12))</f>
        <v>0</v>
      </c>
      <c r="J9" s="33">
        <f>(D9+F9+IF(C9=1,('Your paths'!C45/12+'Your paths'!C46+'Your paths'!C47)*(1+'Your paths'!$C$21)^INT((B9-1)/12),0))*'Your paths'!$C$32</f>
        <v>2400</v>
      </c>
      <c r="K9" s="33">
        <f>('Your paths'!$C$9+'Your paths'!C49)*(1+'Your paths'!$C$24)^INT((B9-1)/12)</f>
        <v>7000</v>
      </c>
      <c r="L9" s="33">
        <f>('Your paths'!$C$10+'Your paths'!C48)*(1+'Your paths'!$C$21)^INT((B9-1)/12)</f>
        <v>2000</v>
      </c>
      <c r="M9" s="33">
        <f>IF('Your paths'!C39="",'Your paths'!$C$12,'Your paths'!C39)+IF(AND('Your paths'!C55="Yes",C9=1,B9&gt;='Your paths'!C57),'Your paths'!C56,0)</f>
        <v>1000</v>
      </c>
      <c r="N9" s="33">
        <f>N8+MAX(0,N8)*((1+'Your paths'!$C$29)^(1/12)-1)+Q9-P9+R9</f>
        <v>53367.9370463149</v>
      </c>
      <c r="O9" s="33">
        <f>(O8-R9)*(1+'Your paths'!$C$30)^(1/12)+M9</f>
        <v>82527.929494707</v>
      </c>
      <c r="P9" s="33">
        <f>IF(AND(B9='Your paths'!C61,'Your paths'!C36&lt;&gt;"Rent"),'Your paths'!C42+'Your paths'!C65+IF('Your paths'!C36="Rent then buy",'Your paths'!C38,0),0)</f>
        <v>0</v>
      </c>
      <c r="Q9" s="33">
        <f>K9-SUM(J9,L9,M9)</f>
        <v>1600</v>
      </c>
      <c r="R9" s="33">
        <f>IF(P9&gt;0,MIN(MAX(0,P9-N8),MAX(0,O8)),0)</f>
        <v>0</v>
      </c>
      <c r="S9" s="2">
        <f>IF(P9&gt;0,MAX(0,P9-N8-O8),0)</f>
        <v>0</v>
      </c>
    </row>
    <row r="10" ht="27" customHeight="1">
      <c r="A10" s="3" t="n"/>
      <c r="B10" s="3" t="n">
        <v>3</v>
      </c>
      <c r="C10" s="3">
        <f>IF(B10&gt;='Your paths'!C61,1,0)</f>
        <v>0</v>
      </c>
      <c r="D10" s="33">
        <f>IF(C10=1,0,'Your paths'!C37*(1+'Your paths'!$C$20)^INT((B10-1)/12))</f>
        <v>2400</v>
      </c>
      <c r="E10" s="33">
        <f>IF(AND(B10='Your paths'!C61,'Your paths'!C36&lt;&gt;"Rent"),'Your paths'!C63,H9)</f>
        <v>0</v>
      </c>
      <c r="F10" s="33">
        <f>IF(C10=1,MIN('Your paths'!C64,E10*(1+'Your paths'!C62)),0)</f>
        <v>0</v>
      </c>
      <c r="G10" s="33">
        <f>E10*'Your paths'!C62</f>
        <v>0</v>
      </c>
      <c r="H10" s="33">
        <f>MAX(0,E10+G10-F10)</f>
        <v>0</v>
      </c>
      <c r="I10" s="33">
        <f>IF(C10=0,0,IF(AND(B10='Your paths'!C61,'Your paths'!C36&lt;&gt;"Rent"),'Your paths'!C41,I9)*(1+'Your paths'!$C$31)^(1/12))</f>
        <v>0</v>
      </c>
      <c r="J10" s="33">
        <f>(D10+F10+IF(C10=1,('Your paths'!C45/12+'Your paths'!C46+'Your paths'!C47)*(1+'Your paths'!$C$21)^INT((B10-1)/12),0))*'Your paths'!$C$32</f>
        <v>2400</v>
      </c>
      <c r="K10" s="33">
        <f>('Your paths'!$C$9+'Your paths'!C49)*(1+'Your paths'!$C$24)^INT((B10-1)/12)</f>
        <v>7000</v>
      </c>
      <c r="L10" s="33">
        <f>('Your paths'!$C$10+'Your paths'!C48)*(1+'Your paths'!$C$21)^INT((B10-1)/12)</f>
        <v>2000</v>
      </c>
      <c r="M10" s="33">
        <f>IF('Your paths'!C39="",'Your paths'!$C$12,'Your paths'!C39)+IF(AND('Your paths'!C55="Yes",C10=1,B10&gt;='Your paths'!C57),'Your paths'!C56,0)</f>
        <v>1000</v>
      </c>
      <c r="N10" s="33">
        <f>N9+MAX(0,N9)*((1+'Your paths'!$C$29)^(1/12)-1)+Q10-P10+R10</f>
        <v>55056.0785332627</v>
      </c>
      <c r="O10" s="33">
        <f>(O9-R10)*(1+'Your paths'!$C$30)^(1/12)+M10</f>
        <v>83798.1044606363</v>
      </c>
      <c r="P10" s="33">
        <f>IF(AND(B10='Your paths'!C61,'Your paths'!C36&lt;&gt;"Rent"),'Your paths'!C42+'Your paths'!C65+IF('Your paths'!C36="Rent then buy",'Your paths'!C38,0),0)</f>
        <v>0</v>
      </c>
      <c r="Q10" s="33">
        <f>K10-SUM(J10,L10,M10)</f>
        <v>1600</v>
      </c>
      <c r="R10" s="33">
        <f>IF(P10&gt;0,MIN(MAX(0,P10-N9),MAX(0,O9)),0)</f>
        <v>0</v>
      </c>
      <c r="S10" s="2">
        <f>IF(P10&gt;0,MAX(0,P10-N9-O9),0)</f>
        <v>0</v>
      </c>
    </row>
    <row r="11" ht="27" customHeight="1">
      <c r="A11" s="3" t="n"/>
      <c r="B11" s="3" t="n">
        <v>4</v>
      </c>
      <c r="C11" s="3">
        <f>IF(B11&gt;='Your paths'!C61,1,0)</f>
        <v>0</v>
      </c>
      <c r="D11" s="33">
        <f>IF(C11=1,0,'Your paths'!C37*(1+'Your paths'!$C$20)^INT((B11-1)/12))</f>
        <v>2400</v>
      </c>
      <c r="E11" s="33">
        <f>IF(AND(B11='Your paths'!C61,'Your paths'!C36&lt;&gt;"Rent"),'Your paths'!C63,H10)</f>
        <v>0</v>
      </c>
      <c r="F11" s="33">
        <f>IF(C11=1,MIN('Your paths'!C64,E11*(1+'Your paths'!C62)),0)</f>
        <v>0</v>
      </c>
      <c r="G11" s="33">
        <f>E11*'Your paths'!C62</f>
        <v>0</v>
      </c>
      <c r="H11" s="33">
        <f>MAX(0,E11+G11-F11)</f>
        <v>0</v>
      </c>
      <c r="I11" s="33">
        <f>IF(C11=0,0,IF(AND(B11='Your paths'!C61,'Your paths'!C36&lt;&gt;"Rent"),'Your paths'!C41,I10)*(1+'Your paths'!$C$31)^(1/12))</f>
        <v>0</v>
      </c>
      <c r="J11" s="33">
        <f>(D11+F11+IF(C11=1,('Your paths'!C45/12+'Your paths'!C46+'Your paths'!C47)*(1+'Your paths'!$C$21)^INT((B11-1)/12),0))*'Your paths'!$C$32</f>
        <v>2400</v>
      </c>
      <c r="K11" s="33">
        <f>('Your paths'!$C$9+'Your paths'!C49)*(1+'Your paths'!$C$24)^INT((B11-1)/12)</f>
        <v>7000</v>
      </c>
      <c r="L11" s="33">
        <f>('Your paths'!$C$10+'Your paths'!C48)*(1+'Your paths'!$C$21)^INT((B11-1)/12)</f>
        <v>2000</v>
      </c>
      <c r="M11" s="33">
        <f>IF('Your paths'!C39="",'Your paths'!$C$12,'Your paths'!C39)+IF(AND('Your paths'!C55="Yes",C11=1,B11&gt;='Your paths'!C57),'Your paths'!C56,0)</f>
        <v>1000</v>
      </c>
      <c r="N11" s="33">
        <f>N10+MAX(0,N10)*((1+'Your paths'!$C$29)^(1/12)-1)+Q11-P11+R11</f>
        <v>56747.0081231253</v>
      </c>
      <c r="O11" s="33">
        <f>(O10-R11)*(1+'Your paths'!$C$30)^(1/12)+M11</f>
        <v>85072.4376488819</v>
      </c>
      <c r="P11" s="33">
        <f>IF(AND(B11='Your paths'!C61,'Your paths'!C36&lt;&gt;"Rent"),'Your paths'!C42+'Your paths'!C65+IF('Your paths'!C36="Rent then buy",'Your paths'!C38,0),0)</f>
        <v>0</v>
      </c>
      <c r="Q11" s="33">
        <f>K11-SUM(J11,L11,M11)</f>
        <v>1600</v>
      </c>
      <c r="R11" s="33">
        <f>IF(P11&gt;0,MIN(MAX(0,P11-N10),MAX(0,O10)),0)</f>
        <v>0</v>
      </c>
      <c r="S11" s="2">
        <f>IF(P11&gt;0,MAX(0,P11-N10-O10),0)</f>
        <v>0</v>
      </c>
    </row>
    <row r="12" ht="27" customHeight="1">
      <c r="A12" s="3" t="n"/>
      <c r="B12" s="3" t="n">
        <v>5</v>
      </c>
      <c r="C12" s="3">
        <f>IF(B12&gt;='Your paths'!C61,1,0)</f>
        <v>0</v>
      </c>
      <c r="D12" s="33">
        <f>IF(C12=1,0,'Your paths'!C37*(1+'Your paths'!$C$20)^INT((B12-1)/12))</f>
        <v>2400</v>
      </c>
      <c r="E12" s="33">
        <f>IF(AND(B12='Your paths'!C61,'Your paths'!C36&lt;&gt;"Rent"),'Your paths'!C63,H11)</f>
        <v>0</v>
      </c>
      <c r="F12" s="33">
        <f>IF(C12=1,MIN('Your paths'!C64,E12*(1+'Your paths'!C62)),0)</f>
        <v>0</v>
      </c>
      <c r="G12" s="33">
        <f>E12*'Your paths'!C62</f>
        <v>0</v>
      </c>
      <c r="H12" s="33">
        <f>MAX(0,E12+G12-F12)</f>
        <v>0</v>
      </c>
      <c r="I12" s="33">
        <f>IF(C12=0,0,IF(AND(B12='Your paths'!C61,'Your paths'!C36&lt;&gt;"Rent"),'Your paths'!C41,I11)*(1+'Your paths'!$C$31)^(1/12))</f>
        <v>0</v>
      </c>
      <c r="J12" s="33">
        <f>(D12+F12+IF(C12=1,('Your paths'!C45/12+'Your paths'!C46+'Your paths'!C47)*(1+'Your paths'!$C$21)^INT((B12-1)/12),0))*'Your paths'!$C$32</f>
        <v>2400</v>
      </c>
      <c r="K12" s="33">
        <f>('Your paths'!$C$9+'Your paths'!C49)*(1+'Your paths'!$C$24)^INT((B12-1)/12)</f>
        <v>7000</v>
      </c>
      <c r="L12" s="33">
        <f>('Your paths'!$C$10+'Your paths'!C48)*(1+'Your paths'!$C$21)^INT((B12-1)/12)</f>
        <v>2000</v>
      </c>
      <c r="M12" s="33">
        <f>IF('Your paths'!C39="",'Your paths'!$C$12,'Your paths'!C39)+IF(AND('Your paths'!C55="Yes",C12=1,B12&gt;='Your paths'!C57),'Your paths'!C56,0)</f>
        <v>1000</v>
      </c>
      <c r="N12" s="33">
        <f>N11+MAX(0,N11)*((1+'Your paths'!$C$29)^(1/12)-1)+Q12-P12+R12</f>
        <v>58440.7304206813</v>
      </c>
      <c r="O12" s="33">
        <f>(O11-R12)*(1+'Your paths'!$C$30)^(1/12)+M12</f>
        <v>86350.9426723817</v>
      </c>
      <c r="P12" s="33">
        <f>IF(AND(B12='Your paths'!C61,'Your paths'!C36&lt;&gt;"Rent"),'Your paths'!C42+'Your paths'!C65+IF('Your paths'!C36="Rent then buy",'Your paths'!C38,0),0)</f>
        <v>0</v>
      </c>
      <c r="Q12" s="33">
        <f>K12-SUM(J12,L12,M12)</f>
        <v>1600</v>
      </c>
      <c r="R12" s="33">
        <f>IF(P12&gt;0,MIN(MAX(0,P12-N11),MAX(0,O11)),0)</f>
        <v>0</v>
      </c>
      <c r="S12" s="2">
        <f>IF(P12&gt;0,MAX(0,P12-N11-O11),0)</f>
        <v>0</v>
      </c>
    </row>
    <row r="13" ht="27" customHeight="1">
      <c r="A13" s="3" t="n"/>
      <c r="B13" s="3" t="n">
        <v>6</v>
      </c>
      <c r="C13" s="3">
        <f>IF(B13&gt;='Your paths'!C61,1,0)</f>
        <v>0</v>
      </c>
      <c r="D13" s="33">
        <f>IF(C13=1,0,'Your paths'!C37*(1+'Your paths'!$C$20)^INT((B13-1)/12))</f>
        <v>2400</v>
      </c>
      <c r="E13" s="33">
        <f>IF(AND(B13='Your paths'!C61,'Your paths'!C36&lt;&gt;"Rent"),'Your paths'!C63,H12)</f>
        <v>0</v>
      </c>
      <c r="F13" s="33">
        <f>IF(C13=1,MIN('Your paths'!C64,E13*(1+'Your paths'!C62)),0)</f>
        <v>0</v>
      </c>
      <c r="G13" s="33">
        <f>E13*'Your paths'!C62</f>
        <v>0</v>
      </c>
      <c r="H13" s="33">
        <f>MAX(0,E13+G13-F13)</f>
        <v>0</v>
      </c>
      <c r="I13" s="33">
        <f>IF(C13=0,0,IF(AND(B13='Your paths'!C61,'Your paths'!C36&lt;&gt;"Rent"),'Your paths'!C41,I12)*(1+'Your paths'!$C$31)^(1/12))</f>
        <v>0</v>
      </c>
      <c r="J13" s="33">
        <f>(D13+F13+IF(C13=1,('Your paths'!C45/12+'Your paths'!C46+'Your paths'!C47)*(1+'Your paths'!$C$21)^INT((B13-1)/12),0))*'Your paths'!$C$32</f>
        <v>2400</v>
      </c>
      <c r="K13" s="33">
        <f>('Your paths'!$C$9+'Your paths'!C49)*(1+'Your paths'!$C$24)^INT((B13-1)/12)</f>
        <v>7000</v>
      </c>
      <c r="L13" s="33">
        <f>('Your paths'!$C$10+'Your paths'!C48)*(1+'Your paths'!$C$21)^INT((B13-1)/12)</f>
        <v>2000</v>
      </c>
      <c r="M13" s="33">
        <f>IF('Your paths'!C39="",'Your paths'!$C$12,'Your paths'!C39)+IF(AND('Your paths'!C55="Yes",C13=1,B13&gt;='Your paths'!C57),'Your paths'!C56,0)</f>
        <v>1000</v>
      </c>
      <c r="N13" s="33">
        <f>N12+MAX(0,N12)*((1+'Your paths'!$C$29)^(1/12)-1)+Q13-P13+R13</f>
        <v>60137.2500383147</v>
      </c>
      <c r="O13" s="33">
        <f>(O12-R13)*(1+'Your paths'!$C$30)^(1/12)+M13</f>
        <v>87633.6331886387</v>
      </c>
      <c r="P13" s="33">
        <f>IF(AND(B13='Your paths'!C61,'Your paths'!C36&lt;&gt;"Rent"),'Your paths'!C42+'Your paths'!C65+IF('Your paths'!C36="Rent then buy",'Your paths'!C38,0),0)</f>
        <v>0</v>
      </c>
      <c r="Q13" s="33">
        <f>K13-SUM(J13,L13,M13)</f>
        <v>1600</v>
      </c>
      <c r="R13" s="33">
        <f>IF(P13&gt;0,MIN(MAX(0,P13-N12),MAX(0,O12)),0)</f>
        <v>0</v>
      </c>
      <c r="S13" s="2">
        <f>IF(P13&gt;0,MAX(0,P13-N12-O12),0)</f>
        <v>0</v>
      </c>
    </row>
    <row r="14" ht="27" customHeight="1">
      <c r="A14" s="3" t="n"/>
      <c r="B14" s="3" t="n">
        <v>7</v>
      </c>
      <c r="C14" s="3">
        <f>IF(B14&gt;='Your paths'!C61,1,0)</f>
        <v>0</v>
      </c>
      <c r="D14" s="33">
        <f>IF(C14=1,0,'Your paths'!C37*(1+'Your paths'!$C$20)^INT((B14-1)/12))</f>
        <v>2400</v>
      </c>
      <c r="E14" s="33">
        <f>IF(AND(B14='Your paths'!C61,'Your paths'!C36&lt;&gt;"Rent"),'Your paths'!C63,H13)</f>
        <v>0</v>
      </c>
      <c r="F14" s="33">
        <f>IF(C14=1,MIN('Your paths'!C64,E14*(1+'Your paths'!C62)),0)</f>
        <v>0</v>
      </c>
      <c r="G14" s="33">
        <f>E14*'Your paths'!C62</f>
        <v>0</v>
      </c>
      <c r="H14" s="33">
        <f>MAX(0,E14+G14-F14)</f>
        <v>0</v>
      </c>
      <c r="I14" s="33">
        <f>IF(C14=0,0,IF(AND(B14='Your paths'!C61,'Your paths'!C36&lt;&gt;"Rent"),'Your paths'!C41,I13)*(1+'Your paths'!$C$31)^(1/12))</f>
        <v>0</v>
      </c>
      <c r="J14" s="33">
        <f>(D14+F14+IF(C14=1,('Your paths'!C45/12+'Your paths'!C46+'Your paths'!C47)*(1+'Your paths'!$C$21)^INT((B14-1)/12),0))*'Your paths'!$C$32</f>
        <v>2400</v>
      </c>
      <c r="K14" s="33">
        <f>('Your paths'!$C$9+'Your paths'!C49)*(1+'Your paths'!$C$24)^INT((B14-1)/12)</f>
        <v>7000</v>
      </c>
      <c r="L14" s="33">
        <f>('Your paths'!$C$10+'Your paths'!C48)*(1+'Your paths'!$C$21)^INT((B14-1)/12)</f>
        <v>2000</v>
      </c>
      <c r="M14" s="33">
        <f>IF('Your paths'!C39="",'Your paths'!$C$12,'Your paths'!C39)+IF(AND('Your paths'!C55="Yes",C14=1,B14&gt;='Your paths'!C57),'Your paths'!C56,0)</f>
        <v>1000</v>
      </c>
      <c r="N14" s="33">
        <f>N13+MAX(0,N13)*((1+'Your paths'!$C$29)^(1/12)-1)+Q14-P14+R14</f>
        <v>61836.5715960269</v>
      </c>
      <c r="O14" s="33">
        <f>(O13-R14)*(1+'Your paths'!$C$30)^(1/12)+M14</f>
        <v>88920.5228998669</v>
      </c>
      <c r="P14" s="33">
        <f>IF(AND(B14='Your paths'!C61,'Your paths'!C36&lt;&gt;"Rent"),'Your paths'!C42+'Your paths'!C65+IF('Your paths'!C36="Rent then buy",'Your paths'!C38,0),0)</f>
        <v>0</v>
      </c>
      <c r="Q14" s="33">
        <f>K14-SUM(J14,L14,M14)</f>
        <v>1600</v>
      </c>
      <c r="R14" s="33">
        <f>IF(P14&gt;0,MIN(MAX(0,P14-N13),MAX(0,O13)),0)</f>
        <v>0</v>
      </c>
      <c r="S14" s="2">
        <f>IF(P14&gt;0,MAX(0,P14-N13-O13),0)</f>
        <v>0</v>
      </c>
    </row>
    <row r="15" ht="27" customHeight="1">
      <c r="A15" s="3" t="n"/>
      <c r="B15" s="3" t="n">
        <v>8</v>
      </c>
      <c r="C15" s="3">
        <f>IF(B15&gt;='Your paths'!C61,1,0)</f>
        <v>0</v>
      </c>
      <c r="D15" s="33">
        <f>IF(C15=1,0,'Your paths'!C37*(1+'Your paths'!$C$20)^INT((B15-1)/12))</f>
        <v>2400</v>
      </c>
      <c r="E15" s="33">
        <f>IF(AND(B15='Your paths'!C61,'Your paths'!C36&lt;&gt;"Rent"),'Your paths'!C63,H14)</f>
        <v>0</v>
      </c>
      <c r="F15" s="33">
        <f>IF(C15=1,MIN('Your paths'!C64,E15*(1+'Your paths'!C62)),0)</f>
        <v>0</v>
      </c>
      <c r="G15" s="33">
        <f>E15*'Your paths'!C62</f>
        <v>0</v>
      </c>
      <c r="H15" s="33">
        <f>MAX(0,E15+G15-F15)</f>
        <v>0</v>
      </c>
      <c r="I15" s="33">
        <f>IF(C15=0,0,IF(AND(B15='Your paths'!C61,'Your paths'!C36&lt;&gt;"Rent"),'Your paths'!C41,I14)*(1+'Your paths'!$C$31)^(1/12))</f>
        <v>0</v>
      </c>
      <c r="J15" s="33">
        <f>(D15+F15+IF(C15=1,('Your paths'!C45/12+'Your paths'!C46+'Your paths'!C47)*(1+'Your paths'!$C$21)^INT((B15-1)/12),0))*'Your paths'!$C$32</f>
        <v>2400</v>
      </c>
      <c r="K15" s="33">
        <f>('Your paths'!$C$9+'Your paths'!C49)*(1+'Your paths'!$C$24)^INT((B15-1)/12)</f>
        <v>7000</v>
      </c>
      <c r="L15" s="33">
        <f>('Your paths'!$C$10+'Your paths'!C48)*(1+'Your paths'!$C$21)^INT((B15-1)/12)</f>
        <v>2000</v>
      </c>
      <c r="M15" s="33">
        <f>IF('Your paths'!C39="",'Your paths'!$C$12,'Your paths'!C39)+IF(AND('Your paths'!C55="Yes",C15=1,B15&gt;='Your paths'!C57),'Your paths'!C56,0)</f>
        <v>1000</v>
      </c>
      <c r="N15" s="33">
        <f>N14+MAX(0,N14)*((1+'Your paths'!$C$29)^(1/12)-1)+Q15-P15+R15</f>
        <v>63538.6997214497</v>
      </c>
      <c r="O15" s="33">
        <f>(O14-R15)*(1+'Your paths'!$C$30)^(1/12)+M15</f>
        <v>90211.6255531382</v>
      </c>
      <c r="P15" s="33">
        <f>IF(AND(B15='Your paths'!C61,'Your paths'!C36&lt;&gt;"Rent"),'Your paths'!C42+'Your paths'!C65+IF('Your paths'!C36="Rent then buy",'Your paths'!C38,0),0)</f>
        <v>0</v>
      </c>
      <c r="Q15" s="33">
        <f>K15-SUM(J15,L15,M15)</f>
        <v>1600</v>
      </c>
      <c r="R15" s="33">
        <f>IF(P15&gt;0,MIN(MAX(0,P15-N14),MAX(0,O14)),0)</f>
        <v>0</v>
      </c>
      <c r="S15" s="2">
        <f>IF(P15&gt;0,MAX(0,P15-N14-O14),0)</f>
        <v>0</v>
      </c>
    </row>
    <row r="16" ht="27" customHeight="1">
      <c r="A16" s="3" t="n"/>
      <c r="B16" s="3" t="n">
        <v>9</v>
      </c>
      <c r="C16" s="3">
        <f>IF(B16&gt;='Your paths'!C61,1,0)</f>
        <v>0</v>
      </c>
      <c r="D16" s="33">
        <f>IF(C16=1,0,'Your paths'!C37*(1+'Your paths'!$C$20)^INT((B16-1)/12))</f>
        <v>2400</v>
      </c>
      <c r="E16" s="33">
        <f>IF(AND(B16='Your paths'!C61,'Your paths'!C36&lt;&gt;"Rent"),'Your paths'!C63,H15)</f>
        <v>0</v>
      </c>
      <c r="F16" s="33">
        <f>IF(C16=1,MIN('Your paths'!C64,E16*(1+'Your paths'!C62)),0)</f>
        <v>0</v>
      </c>
      <c r="G16" s="33">
        <f>E16*'Your paths'!C62</f>
        <v>0</v>
      </c>
      <c r="H16" s="33">
        <f>MAX(0,E16+G16-F16)</f>
        <v>0</v>
      </c>
      <c r="I16" s="33">
        <f>IF(C16=0,0,IF(AND(B16='Your paths'!C61,'Your paths'!C36&lt;&gt;"Rent"),'Your paths'!C41,I15)*(1+'Your paths'!$C$31)^(1/12))</f>
        <v>0</v>
      </c>
      <c r="J16" s="33">
        <f>(D16+F16+IF(C16=1,('Your paths'!C45/12+'Your paths'!C46+'Your paths'!C47)*(1+'Your paths'!$C$21)^INT((B16-1)/12),0))*'Your paths'!$C$32</f>
        <v>2400</v>
      </c>
      <c r="K16" s="33">
        <f>('Your paths'!$C$9+'Your paths'!C49)*(1+'Your paths'!$C$24)^INT((B16-1)/12)</f>
        <v>7000</v>
      </c>
      <c r="L16" s="33">
        <f>('Your paths'!$C$10+'Your paths'!C48)*(1+'Your paths'!$C$21)^INT((B16-1)/12)</f>
        <v>2000</v>
      </c>
      <c r="M16" s="33">
        <f>IF('Your paths'!C39="",'Your paths'!$C$12,'Your paths'!C39)+IF(AND('Your paths'!C55="Yes",C16=1,B16&gt;='Your paths'!C57),'Your paths'!C56,0)</f>
        <v>1000</v>
      </c>
      <c r="N16" s="33">
        <f>N15+MAX(0,N15)*((1+'Your paths'!$C$29)^(1/12)-1)+Q16-P16+R16</f>
        <v>65243.639049858</v>
      </c>
      <c r="O16" s="33">
        <f>(O15-R16)*(1+'Your paths'!$C$30)^(1/12)+M16</f>
        <v>91506.9549405283</v>
      </c>
      <c r="P16" s="33">
        <f>IF(AND(B16='Your paths'!C61,'Your paths'!C36&lt;&gt;"Rent"),'Your paths'!C42+'Your paths'!C65+IF('Your paths'!C36="Rent then buy",'Your paths'!C38,0),0)</f>
        <v>0</v>
      </c>
      <c r="Q16" s="33">
        <f>K16-SUM(J16,L16,M16)</f>
        <v>1600</v>
      </c>
      <c r="R16" s="33">
        <f>IF(P16&gt;0,MIN(MAX(0,P16-N15),MAX(0,O15)),0)</f>
        <v>0</v>
      </c>
      <c r="S16" s="2">
        <f>IF(P16&gt;0,MAX(0,P16-N15-O15),0)</f>
        <v>0</v>
      </c>
    </row>
    <row r="17" ht="27" customHeight="1">
      <c r="A17" s="3" t="n"/>
      <c r="B17" s="3" t="n">
        <v>10</v>
      </c>
      <c r="C17" s="3">
        <f>IF(B17&gt;='Your paths'!C61,1,0)</f>
        <v>0</v>
      </c>
      <c r="D17" s="33">
        <f>IF(C17=1,0,'Your paths'!C37*(1+'Your paths'!$C$20)^INT((B17-1)/12))</f>
        <v>2400</v>
      </c>
      <c r="E17" s="33">
        <f>IF(AND(B17='Your paths'!C61,'Your paths'!C36&lt;&gt;"Rent"),'Your paths'!C63,H16)</f>
        <v>0</v>
      </c>
      <c r="F17" s="33">
        <f>IF(C17=1,MIN('Your paths'!C64,E17*(1+'Your paths'!C62)),0)</f>
        <v>0</v>
      </c>
      <c r="G17" s="33">
        <f>E17*'Your paths'!C62</f>
        <v>0</v>
      </c>
      <c r="H17" s="33">
        <f>MAX(0,E17+G17-F17)</f>
        <v>0</v>
      </c>
      <c r="I17" s="33">
        <f>IF(C17=0,0,IF(AND(B17='Your paths'!C61,'Your paths'!C36&lt;&gt;"Rent"),'Your paths'!C41,I16)*(1+'Your paths'!$C$31)^(1/12))</f>
        <v>0</v>
      </c>
      <c r="J17" s="33">
        <f>(D17+F17+IF(C17=1,('Your paths'!C45/12+'Your paths'!C46+'Your paths'!C47)*(1+'Your paths'!$C$21)^INT((B17-1)/12),0))*'Your paths'!$C$32</f>
        <v>2400</v>
      </c>
      <c r="K17" s="33">
        <f>('Your paths'!$C$9+'Your paths'!C49)*(1+'Your paths'!$C$24)^INT((B17-1)/12)</f>
        <v>7000</v>
      </c>
      <c r="L17" s="33">
        <f>('Your paths'!$C$10+'Your paths'!C48)*(1+'Your paths'!$C$21)^INT((B17-1)/12)</f>
        <v>2000</v>
      </c>
      <c r="M17" s="33">
        <f>IF('Your paths'!C39="",'Your paths'!$C$12,'Your paths'!C39)+IF(AND('Your paths'!C55="Yes",C17=1,B17&gt;='Your paths'!C57),'Your paths'!C56,0)</f>
        <v>1000</v>
      </c>
      <c r="N17" s="33">
        <f>N16+MAX(0,N16)*((1+'Your paths'!$C$29)^(1/12)-1)+Q17-P17+R17</f>
        <v>66951.394224182</v>
      </c>
      <c r="O17" s="33">
        <f>(O16-R17)*(1+'Your paths'!$C$30)^(1/12)+M17</f>
        <v>92806.524899265</v>
      </c>
      <c r="P17" s="33">
        <f>IF(AND(B17='Your paths'!C61,'Your paths'!C36&lt;&gt;"Rent"),'Your paths'!C42+'Your paths'!C65+IF('Your paths'!C36="Rent then buy",'Your paths'!C38,0),0)</f>
        <v>0</v>
      </c>
      <c r="Q17" s="33">
        <f>K17-SUM(J17,L17,M17)</f>
        <v>1600</v>
      </c>
      <c r="R17" s="33">
        <f>IF(P17&gt;0,MIN(MAX(0,P17-N16),MAX(0,O16)),0)</f>
        <v>0</v>
      </c>
      <c r="S17" s="2">
        <f>IF(P17&gt;0,MAX(0,P17-N16-O16),0)</f>
        <v>0</v>
      </c>
    </row>
    <row r="18" ht="27" customHeight="1">
      <c r="A18" s="3" t="n"/>
      <c r="B18" s="3" t="n">
        <v>11</v>
      </c>
      <c r="C18" s="3">
        <f>IF(B18&gt;='Your paths'!C61,1,0)</f>
        <v>0</v>
      </c>
      <c r="D18" s="33">
        <f>IF(C18=1,0,'Your paths'!C37*(1+'Your paths'!$C$20)^INT((B18-1)/12))</f>
        <v>2400</v>
      </c>
      <c r="E18" s="33">
        <f>IF(AND(B18='Your paths'!C61,'Your paths'!C36&lt;&gt;"Rent"),'Your paths'!C63,H17)</f>
        <v>0</v>
      </c>
      <c r="F18" s="33">
        <f>IF(C18=1,MIN('Your paths'!C64,E18*(1+'Your paths'!C62)),0)</f>
        <v>0</v>
      </c>
      <c r="G18" s="33">
        <f>E18*'Your paths'!C62</f>
        <v>0</v>
      </c>
      <c r="H18" s="33">
        <f>MAX(0,E18+G18-F18)</f>
        <v>0</v>
      </c>
      <c r="I18" s="33">
        <f>IF(C18=0,0,IF(AND(B18='Your paths'!C61,'Your paths'!C36&lt;&gt;"Rent"),'Your paths'!C41,I17)*(1+'Your paths'!$C$31)^(1/12))</f>
        <v>0</v>
      </c>
      <c r="J18" s="33">
        <f>(D18+F18+IF(C18=1,('Your paths'!C45/12+'Your paths'!C46+'Your paths'!C47)*(1+'Your paths'!$C$21)^INT((B18-1)/12),0))*'Your paths'!$C$32</f>
        <v>2400</v>
      </c>
      <c r="K18" s="33">
        <f>('Your paths'!$C$9+'Your paths'!C49)*(1+'Your paths'!$C$24)^INT((B18-1)/12)</f>
        <v>7000</v>
      </c>
      <c r="L18" s="33">
        <f>('Your paths'!$C$10+'Your paths'!C48)*(1+'Your paths'!$C$21)^INT((B18-1)/12)</f>
        <v>2000</v>
      </c>
      <c r="M18" s="33">
        <f>IF('Your paths'!C39="",'Your paths'!$C$12,'Your paths'!C39)+IF(AND('Your paths'!C55="Yes",C18=1,B18&gt;='Your paths'!C57),'Your paths'!C56,0)</f>
        <v>1000</v>
      </c>
      <c r="N18" s="33">
        <f>N17+MAX(0,N17)*((1+'Your paths'!$C$29)^(1/12)-1)+Q18-P18+R18</f>
        <v>68661.9698950201</v>
      </c>
      <c r="O18" s="33">
        <f>(O17-R18)*(1+'Your paths'!$C$30)^(1/12)+M18</f>
        <v>94110.3493118754</v>
      </c>
      <c r="P18" s="33">
        <f>IF(AND(B18='Your paths'!C61,'Your paths'!C36&lt;&gt;"Rent"),'Your paths'!C42+'Your paths'!C65+IF('Your paths'!C36="Rent then buy",'Your paths'!C38,0),0)</f>
        <v>0</v>
      </c>
      <c r="Q18" s="33">
        <f>K18-SUM(J18,L18,M18)</f>
        <v>1600</v>
      </c>
      <c r="R18" s="33">
        <f>IF(P18&gt;0,MIN(MAX(0,P18-N17),MAX(0,O17)),0)</f>
        <v>0</v>
      </c>
      <c r="S18" s="2">
        <f>IF(P18&gt;0,MAX(0,P18-N17-O17),0)</f>
        <v>0</v>
      </c>
    </row>
    <row r="19" ht="27" customHeight="1">
      <c r="A19" s="3" t="n"/>
      <c r="B19" s="3" t="n">
        <v>12</v>
      </c>
      <c r="C19" s="3">
        <f>IF(B19&gt;='Your paths'!C61,1,0)</f>
        <v>0</v>
      </c>
      <c r="D19" s="33">
        <f>IF(C19=1,0,'Your paths'!C37*(1+'Your paths'!$C$20)^INT((B19-1)/12))</f>
        <v>2400</v>
      </c>
      <c r="E19" s="33">
        <f>IF(AND(B19='Your paths'!C61,'Your paths'!C36&lt;&gt;"Rent"),'Your paths'!C63,H18)</f>
        <v>0</v>
      </c>
      <c r="F19" s="33">
        <f>IF(C19=1,MIN('Your paths'!C64,E19*(1+'Your paths'!C62)),0)</f>
        <v>0</v>
      </c>
      <c r="G19" s="33">
        <f>E19*'Your paths'!C62</f>
        <v>0</v>
      </c>
      <c r="H19" s="33">
        <f>MAX(0,E19+G19-F19)</f>
        <v>0</v>
      </c>
      <c r="I19" s="33">
        <f>IF(C19=0,0,IF(AND(B19='Your paths'!C61,'Your paths'!C36&lt;&gt;"Rent"),'Your paths'!C41,I18)*(1+'Your paths'!$C$31)^(1/12))</f>
        <v>0</v>
      </c>
      <c r="J19" s="33">
        <f>(D19+F19+IF(C19=1,('Your paths'!C45/12+'Your paths'!C46+'Your paths'!C47)*(1+'Your paths'!$C$21)^INT((B19-1)/12),0))*'Your paths'!$C$32</f>
        <v>2400</v>
      </c>
      <c r="K19" s="33">
        <f>('Your paths'!$C$9+'Your paths'!C49)*(1+'Your paths'!$C$24)^INT((B19-1)/12)</f>
        <v>7000</v>
      </c>
      <c r="L19" s="33">
        <f>('Your paths'!$C$10+'Your paths'!C48)*(1+'Your paths'!$C$21)^INT((B19-1)/12)</f>
        <v>2000</v>
      </c>
      <c r="M19" s="33">
        <f>IF('Your paths'!C39="",'Your paths'!$C$12,'Your paths'!C39)+IF(AND('Your paths'!C55="Yes",C19=1,B19&gt;='Your paths'!C57),'Your paths'!C56,0)</f>
        <v>1000</v>
      </c>
      <c r="N19" s="33">
        <f>N18+MAX(0,N18)*((1+'Your paths'!$C$29)^(1/12)-1)+Q19-P19+R19</f>
        <v>70375.3707206518</v>
      </c>
      <c r="O19" s="33">
        <f>(O18-R19)*(1+'Your paths'!$C$30)^(1/12)+M19</f>
        <v>95418.4421063343</v>
      </c>
      <c r="P19" s="33">
        <f>IF(AND(B19='Your paths'!C61,'Your paths'!C36&lt;&gt;"Rent"),'Your paths'!C42+'Your paths'!C65+IF('Your paths'!C36="Rent then buy",'Your paths'!C38,0),0)</f>
        <v>0</v>
      </c>
      <c r="Q19" s="33">
        <f>K19-SUM(J19,L19,M19)</f>
        <v>1600</v>
      </c>
      <c r="R19" s="33">
        <f>IF(P19&gt;0,MIN(MAX(0,P19-N18),MAX(0,O18)),0)</f>
        <v>0</v>
      </c>
      <c r="S19" s="2">
        <f>IF(P19&gt;0,MAX(0,P19-N18-O18),0)</f>
        <v>0</v>
      </c>
    </row>
    <row r="20" ht="27" customHeight="1">
      <c r="A20" s="3" t="n"/>
      <c r="B20" s="3" t="n">
        <v>13</v>
      </c>
      <c r="C20" s="3">
        <f>IF(B20&gt;='Your paths'!C61,1,0)</f>
        <v>0</v>
      </c>
      <c r="D20" s="33">
        <f>IF(C20=1,0,'Your paths'!C37*(1+'Your paths'!$C$20)^INT((B20-1)/12))</f>
        <v>2448</v>
      </c>
      <c r="E20" s="33">
        <f>IF(AND(B20='Your paths'!C61,'Your paths'!C36&lt;&gt;"Rent"),'Your paths'!C63,H19)</f>
        <v>0</v>
      </c>
      <c r="F20" s="33">
        <f>IF(C20=1,MIN('Your paths'!C64,E20*(1+'Your paths'!C62)),0)</f>
        <v>0</v>
      </c>
      <c r="G20" s="33">
        <f>E20*'Your paths'!C62</f>
        <v>0</v>
      </c>
      <c r="H20" s="33">
        <f>MAX(0,E20+G20-F20)</f>
        <v>0</v>
      </c>
      <c r="I20" s="33">
        <f>IF(C20=0,0,IF(AND(B20='Your paths'!C61,'Your paths'!C36&lt;&gt;"Rent"),'Your paths'!C41,I19)*(1+'Your paths'!$C$31)^(1/12))</f>
        <v>0</v>
      </c>
      <c r="J20" s="33">
        <f>(D20+F20+IF(C20=1,('Your paths'!C45/12+'Your paths'!C46+'Your paths'!C47)*(1+'Your paths'!$C$21)^INT((B20-1)/12),0))*'Your paths'!$C$32</f>
        <v>2448</v>
      </c>
      <c r="K20" s="33">
        <f>('Your paths'!$C$9+'Your paths'!C49)*(1+'Your paths'!$C$24)^INT((B20-1)/12)</f>
        <v>7140</v>
      </c>
      <c r="L20" s="33">
        <f>('Your paths'!$C$10+'Your paths'!C48)*(1+'Your paths'!$C$21)^INT((B20-1)/12)</f>
        <v>2040</v>
      </c>
      <c r="M20" s="33">
        <f>IF('Your paths'!C39="",'Your paths'!$C$12,'Your paths'!C39)+IF(AND('Your paths'!C55="Yes",C20=1,B20&gt;='Your paths'!C57),'Your paths'!C56,0)</f>
        <v>1000</v>
      </c>
      <c r="N20" s="33">
        <f>N19+MAX(0,N19)*((1+'Your paths'!$C$29)^(1/12)-1)+Q20-P20+R20</f>
        <v>72143.6013670497</v>
      </c>
      <c r="O20" s="33">
        <f>(O19-R20)*(1+'Your paths'!$C$30)^(1/12)+M20</f>
        <v>96730.8172562132</v>
      </c>
      <c r="P20" s="33">
        <f>IF(AND(B20='Your paths'!C61,'Your paths'!C36&lt;&gt;"Rent"),'Your paths'!C42+'Your paths'!C65+IF('Your paths'!C36="Rent then buy",'Your paths'!C38,0),0)</f>
        <v>0</v>
      </c>
      <c r="Q20" s="33">
        <f>K20-SUM(J20,L20,M20)</f>
        <v>1652</v>
      </c>
      <c r="R20" s="33">
        <f>IF(P20&gt;0,MIN(MAX(0,P20-N19),MAX(0,O19)),0)</f>
        <v>0</v>
      </c>
      <c r="S20" s="2">
        <f>IF(P20&gt;0,MAX(0,P20-N19-O19),0)</f>
        <v>0</v>
      </c>
    </row>
    <row r="21" ht="27" customHeight="1">
      <c r="A21" s="3" t="n"/>
      <c r="B21" s="3" t="n">
        <v>14</v>
      </c>
      <c r="C21" s="3">
        <f>IF(B21&gt;='Your paths'!C61,1,0)</f>
        <v>0</v>
      </c>
      <c r="D21" s="33">
        <f>IF(C21=1,0,'Your paths'!C37*(1+'Your paths'!$C$20)^INT((B21-1)/12))</f>
        <v>2448</v>
      </c>
      <c r="E21" s="33">
        <f>IF(AND(B21='Your paths'!C61,'Your paths'!C36&lt;&gt;"Rent"),'Your paths'!C63,H20)</f>
        <v>0</v>
      </c>
      <c r="F21" s="33">
        <f>IF(C21=1,MIN('Your paths'!C64,E21*(1+'Your paths'!C62)),0)</f>
        <v>0</v>
      </c>
      <c r="G21" s="33">
        <f>E21*'Your paths'!C62</f>
        <v>0</v>
      </c>
      <c r="H21" s="33">
        <f>MAX(0,E21+G21-F21)</f>
        <v>0</v>
      </c>
      <c r="I21" s="33">
        <f>IF(C21=0,0,IF(AND(B21='Your paths'!C61,'Your paths'!C36&lt;&gt;"Rent"),'Your paths'!C41,I20)*(1+'Your paths'!$C$31)^(1/12))</f>
        <v>0</v>
      </c>
      <c r="J21" s="33">
        <f>(D21+F21+IF(C21=1,('Your paths'!C45/12+'Your paths'!C46+'Your paths'!C47)*(1+'Your paths'!$C$21)^INT((B21-1)/12),0))*'Your paths'!$C$32</f>
        <v>2448</v>
      </c>
      <c r="K21" s="33">
        <f>('Your paths'!$C$9+'Your paths'!C49)*(1+'Your paths'!$C$24)^INT((B21-1)/12)</f>
        <v>7140</v>
      </c>
      <c r="L21" s="33">
        <f>('Your paths'!$C$10+'Your paths'!C48)*(1+'Your paths'!$C$21)^INT((B21-1)/12)</f>
        <v>2040</v>
      </c>
      <c r="M21" s="33">
        <f>IF('Your paths'!C39="",'Your paths'!$C$12,'Your paths'!C39)+IF(AND('Your paths'!C55="Yes",C21=1,B21&gt;='Your paths'!C57),'Your paths'!C56,0)</f>
        <v>1000</v>
      </c>
      <c r="N21" s="33">
        <f>N20+MAX(0,N20)*((1+'Your paths'!$C$29)^(1/12)-1)+Q21-P21+R21</f>
        <v>73914.7523901207</v>
      </c>
      <c r="O21" s="33">
        <f>(O20-R21)*(1+'Your paths'!$C$30)^(1/12)+M21</f>
        <v>98047.4887808295</v>
      </c>
      <c r="P21" s="33">
        <f>IF(AND(B21='Your paths'!C61,'Your paths'!C36&lt;&gt;"Rent"),'Your paths'!C42+'Your paths'!C65+IF('Your paths'!C36="Rent then buy",'Your paths'!C38,0),0)</f>
        <v>0</v>
      </c>
      <c r="Q21" s="33">
        <f>K21-SUM(J21,L21,M21)</f>
        <v>1652</v>
      </c>
      <c r="R21" s="33">
        <f>IF(P21&gt;0,MIN(MAX(0,P21-N20),MAX(0,O20)),0)</f>
        <v>0</v>
      </c>
      <c r="S21" s="2">
        <f>IF(P21&gt;0,MAX(0,P21-N20-O20),0)</f>
        <v>0</v>
      </c>
    </row>
    <row r="22" ht="27" customHeight="1">
      <c r="A22" s="3" t="n"/>
      <c r="B22" s="3" t="n">
        <v>15</v>
      </c>
      <c r="C22" s="3">
        <f>IF(B22&gt;='Your paths'!C61,1,0)</f>
        <v>0</v>
      </c>
      <c r="D22" s="33">
        <f>IF(C22=1,0,'Your paths'!C37*(1+'Your paths'!$C$20)^INT((B22-1)/12))</f>
        <v>2448</v>
      </c>
      <c r="E22" s="33">
        <f>IF(AND(B22='Your paths'!C61,'Your paths'!C36&lt;&gt;"Rent"),'Your paths'!C63,H21)</f>
        <v>0</v>
      </c>
      <c r="F22" s="33">
        <f>IF(C22=1,MIN('Your paths'!C64,E22*(1+'Your paths'!C62)),0)</f>
        <v>0</v>
      </c>
      <c r="G22" s="33">
        <f>E22*'Your paths'!C62</f>
        <v>0</v>
      </c>
      <c r="H22" s="33">
        <f>MAX(0,E22+G22-F22)</f>
        <v>0</v>
      </c>
      <c r="I22" s="33">
        <f>IF(C22=0,0,IF(AND(B22='Your paths'!C61,'Your paths'!C36&lt;&gt;"Rent"),'Your paths'!C41,I21)*(1+'Your paths'!$C$31)^(1/12))</f>
        <v>0</v>
      </c>
      <c r="J22" s="33">
        <f>(D22+F22+IF(C22=1,('Your paths'!C45/12+'Your paths'!C46+'Your paths'!C47)*(1+'Your paths'!$C$21)^INT((B22-1)/12),0))*'Your paths'!$C$32</f>
        <v>2448</v>
      </c>
      <c r="K22" s="33">
        <f>('Your paths'!$C$9+'Your paths'!C49)*(1+'Your paths'!$C$24)^INT((B22-1)/12)</f>
        <v>7140</v>
      </c>
      <c r="L22" s="33">
        <f>('Your paths'!$C$10+'Your paths'!C48)*(1+'Your paths'!$C$21)^INT((B22-1)/12)</f>
        <v>2040</v>
      </c>
      <c r="M22" s="33">
        <f>IF('Your paths'!C39="",'Your paths'!$C$12,'Your paths'!C39)+IF(AND('Your paths'!C55="Yes",C22=1,B22&gt;='Your paths'!C57),'Your paths'!C56,0)</f>
        <v>1000</v>
      </c>
      <c r="N22" s="33">
        <f>N21+MAX(0,N21)*((1+'Your paths'!$C$29)^(1/12)-1)+Q22-P22+R22</f>
        <v>75688.8286131043</v>
      </c>
      <c r="O22" s="33">
        <f>(O21-R22)*(1+'Your paths'!$C$30)^(1/12)+M22</f>
        <v>99368.470745396</v>
      </c>
      <c r="P22" s="33">
        <f>IF(AND(B22='Your paths'!C61,'Your paths'!C36&lt;&gt;"Rent"),'Your paths'!C42+'Your paths'!C65+IF('Your paths'!C36="Rent then buy",'Your paths'!C38,0),0)</f>
        <v>0</v>
      </c>
      <c r="Q22" s="33">
        <f>K22-SUM(J22,L22,M22)</f>
        <v>1652</v>
      </c>
      <c r="R22" s="33">
        <f>IF(P22&gt;0,MIN(MAX(0,P22-N21),MAX(0,O21)),0)</f>
        <v>0</v>
      </c>
      <c r="S22" s="2">
        <f>IF(P22&gt;0,MAX(0,P22-N21-O21),0)</f>
        <v>0</v>
      </c>
    </row>
    <row r="23" ht="27" customHeight="1">
      <c r="A23" s="3" t="n"/>
      <c r="B23" s="3" t="n">
        <v>16</v>
      </c>
      <c r="C23" s="3">
        <f>IF(B23&gt;='Your paths'!C61,1,0)</f>
        <v>0</v>
      </c>
      <c r="D23" s="33">
        <f>IF(C23=1,0,'Your paths'!C37*(1+'Your paths'!$C$20)^INT((B23-1)/12))</f>
        <v>2448</v>
      </c>
      <c r="E23" s="33">
        <f>IF(AND(B23='Your paths'!C61,'Your paths'!C36&lt;&gt;"Rent"),'Your paths'!C63,H22)</f>
        <v>0</v>
      </c>
      <c r="F23" s="33">
        <f>IF(C23=1,MIN('Your paths'!C64,E23*(1+'Your paths'!C62)),0)</f>
        <v>0</v>
      </c>
      <c r="G23" s="33">
        <f>E23*'Your paths'!C62</f>
        <v>0</v>
      </c>
      <c r="H23" s="33">
        <f>MAX(0,E23+G23-F23)</f>
        <v>0</v>
      </c>
      <c r="I23" s="33">
        <f>IF(C23=0,0,IF(AND(B23='Your paths'!C61,'Your paths'!C36&lt;&gt;"Rent"),'Your paths'!C41,I22)*(1+'Your paths'!$C$31)^(1/12))</f>
        <v>0</v>
      </c>
      <c r="J23" s="33">
        <f>(D23+F23+IF(C23=1,('Your paths'!C45/12+'Your paths'!C46+'Your paths'!C47)*(1+'Your paths'!$C$21)^INT((B23-1)/12),0))*'Your paths'!$C$32</f>
        <v>2448</v>
      </c>
      <c r="K23" s="33">
        <f>('Your paths'!$C$9+'Your paths'!C49)*(1+'Your paths'!$C$24)^INT((B23-1)/12)</f>
        <v>7140</v>
      </c>
      <c r="L23" s="33">
        <f>('Your paths'!$C$10+'Your paths'!C48)*(1+'Your paths'!$C$21)^INT((B23-1)/12)</f>
        <v>2040</v>
      </c>
      <c r="M23" s="33">
        <f>IF('Your paths'!C39="",'Your paths'!$C$12,'Your paths'!C39)+IF(AND('Your paths'!C55="Yes",C23=1,B23&gt;='Your paths'!C57),'Your paths'!C56,0)</f>
        <v>1000</v>
      </c>
      <c r="N23" s="33">
        <f>N22+MAX(0,N22)*((1+'Your paths'!$C$29)^(1/12)-1)+Q23-P23+R23</f>
        <v>77465.8348672059</v>
      </c>
      <c r="O23" s="33">
        <f>(O22-R23)*(1+'Your paths'!$C$30)^(1/12)+M23</f>
        <v>100693.777261171</v>
      </c>
      <c r="P23" s="33">
        <f>IF(AND(B23='Your paths'!C61,'Your paths'!C36&lt;&gt;"Rent"),'Your paths'!C42+'Your paths'!C65+IF('Your paths'!C36="Rent then buy",'Your paths'!C38,0),0)</f>
        <v>0</v>
      </c>
      <c r="Q23" s="33">
        <f>K23-SUM(J23,L23,M23)</f>
        <v>1652</v>
      </c>
      <c r="R23" s="33">
        <f>IF(P23&gt;0,MIN(MAX(0,P23-N22),MAX(0,O22)),0)</f>
        <v>0</v>
      </c>
      <c r="S23" s="2">
        <f>IF(P23&gt;0,MAX(0,P23-N22-O22),0)</f>
        <v>0</v>
      </c>
    </row>
    <row r="24" ht="27" customHeight="1">
      <c r="A24" s="3" t="n"/>
      <c r="B24" s="3" t="n">
        <v>17</v>
      </c>
      <c r="C24" s="3">
        <f>IF(B24&gt;='Your paths'!C61,1,0)</f>
        <v>0</v>
      </c>
      <c r="D24" s="33">
        <f>IF(C24=1,0,'Your paths'!C37*(1+'Your paths'!$C$20)^INT((B24-1)/12))</f>
        <v>2448</v>
      </c>
      <c r="E24" s="33">
        <f>IF(AND(B24='Your paths'!C61,'Your paths'!C36&lt;&gt;"Rent"),'Your paths'!C63,H23)</f>
        <v>0</v>
      </c>
      <c r="F24" s="33">
        <f>IF(C24=1,MIN('Your paths'!C64,E24*(1+'Your paths'!C62)),0)</f>
        <v>0</v>
      </c>
      <c r="G24" s="33">
        <f>E24*'Your paths'!C62</f>
        <v>0</v>
      </c>
      <c r="H24" s="33">
        <f>MAX(0,E24+G24-F24)</f>
        <v>0</v>
      </c>
      <c r="I24" s="33">
        <f>IF(C24=0,0,IF(AND(B24='Your paths'!C61,'Your paths'!C36&lt;&gt;"Rent"),'Your paths'!C41,I23)*(1+'Your paths'!$C$31)^(1/12))</f>
        <v>0</v>
      </c>
      <c r="J24" s="33">
        <f>(D24+F24+IF(C24=1,('Your paths'!C45/12+'Your paths'!C46+'Your paths'!C47)*(1+'Your paths'!$C$21)^INT((B24-1)/12),0))*'Your paths'!$C$32</f>
        <v>2448</v>
      </c>
      <c r="K24" s="33">
        <f>('Your paths'!$C$9+'Your paths'!C49)*(1+'Your paths'!$C$24)^INT((B24-1)/12)</f>
        <v>7140</v>
      </c>
      <c r="L24" s="33">
        <f>('Your paths'!$C$10+'Your paths'!C48)*(1+'Your paths'!$C$21)^INT((B24-1)/12)</f>
        <v>2040</v>
      </c>
      <c r="M24" s="33">
        <f>IF('Your paths'!C39="",'Your paths'!$C$12,'Your paths'!C39)+IF(AND('Your paths'!C55="Yes",C24=1,B24&gt;='Your paths'!C57),'Your paths'!C56,0)</f>
        <v>1000</v>
      </c>
      <c r="N24" s="33">
        <f>N23+MAX(0,N23)*((1+'Your paths'!$C$29)^(1/12)-1)+Q24-P24+R24</f>
        <v>79245.7759916103</v>
      </c>
      <c r="O24" s="33">
        <f>(O23-R24)*(1+'Your paths'!$C$30)^(1/12)+M24</f>
        <v>102023.422485611</v>
      </c>
      <c r="P24" s="33">
        <f>IF(AND(B24='Your paths'!C61,'Your paths'!C36&lt;&gt;"Rent"),'Your paths'!C42+'Your paths'!C65+IF('Your paths'!C36="Rent then buy",'Your paths'!C38,0),0)</f>
        <v>0</v>
      </c>
      <c r="Q24" s="33">
        <f>K24-SUM(J24,L24,M24)</f>
        <v>1652</v>
      </c>
      <c r="R24" s="33">
        <f>IF(P24&gt;0,MIN(MAX(0,P24-N23),MAX(0,O23)),0)</f>
        <v>0</v>
      </c>
      <c r="S24" s="2">
        <f>IF(P24&gt;0,MAX(0,P24-N23-O23),0)</f>
        <v>0</v>
      </c>
    </row>
    <row r="25" ht="27" customHeight="1">
      <c r="A25" s="3" t="n"/>
      <c r="B25" s="3" t="n">
        <v>18</v>
      </c>
      <c r="C25" s="3">
        <f>IF(B25&gt;='Your paths'!C61,1,0)</f>
        <v>0</v>
      </c>
      <c r="D25" s="33">
        <f>IF(C25=1,0,'Your paths'!C37*(1+'Your paths'!$C$20)^INT((B25-1)/12))</f>
        <v>2448</v>
      </c>
      <c r="E25" s="33">
        <f>IF(AND(B25='Your paths'!C61,'Your paths'!C36&lt;&gt;"Rent"),'Your paths'!C63,H24)</f>
        <v>0</v>
      </c>
      <c r="F25" s="33">
        <f>IF(C25=1,MIN('Your paths'!C64,E25*(1+'Your paths'!C62)),0)</f>
        <v>0</v>
      </c>
      <c r="G25" s="33">
        <f>E25*'Your paths'!C62</f>
        <v>0</v>
      </c>
      <c r="H25" s="33">
        <f>MAX(0,E25+G25-F25)</f>
        <v>0</v>
      </c>
      <c r="I25" s="33">
        <f>IF(C25=0,0,IF(AND(B25='Your paths'!C61,'Your paths'!C36&lt;&gt;"Rent"),'Your paths'!C41,I24)*(1+'Your paths'!$C$31)^(1/12))</f>
        <v>0</v>
      </c>
      <c r="J25" s="33">
        <f>(D25+F25+IF(C25=1,('Your paths'!C45/12+'Your paths'!C46+'Your paths'!C47)*(1+'Your paths'!$C$21)^INT((B25-1)/12),0))*'Your paths'!$C$32</f>
        <v>2448</v>
      </c>
      <c r="K25" s="33">
        <f>('Your paths'!$C$9+'Your paths'!C49)*(1+'Your paths'!$C$24)^INT((B25-1)/12)</f>
        <v>7140</v>
      </c>
      <c r="L25" s="33">
        <f>('Your paths'!$C$10+'Your paths'!C48)*(1+'Your paths'!$C$21)^INT((B25-1)/12)</f>
        <v>2040</v>
      </c>
      <c r="M25" s="33">
        <f>IF('Your paths'!C39="",'Your paths'!$C$12,'Your paths'!C39)+IF(AND('Your paths'!C55="Yes",C25=1,B25&gt;='Your paths'!C57),'Your paths'!C56,0)</f>
        <v>1000</v>
      </c>
      <c r="N25" s="33">
        <f>N24+MAX(0,N24)*((1+'Your paths'!$C$29)^(1/12)-1)+Q25-P25+R25</f>
        <v>81028.6568334942</v>
      </c>
      <c r="O25" s="33">
        <f>(O24-R25)*(1+'Your paths'!$C$30)^(1/12)+M25</f>
        <v>103357.420622519</v>
      </c>
      <c r="P25" s="33">
        <f>IF(AND(B25='Your paths'!C61,'Your paths'!C36&lt;&gt;"Rent"),'Your paths'!C42+'Your paths'!C65+IF('Your paths'!C36="Rent then buy",'Your paths'!C38,0),0)</f>
        <v>0</v>
      </c>
      <c r="Q25" s="33">
        <f>K25-SUM(J25,L25,M25)</f>
        <v>1652</v>
      </c>
      <c r="R25" s="33">
        <f>IF(P25&gt;0,MIN(MAX(0,P25-N24),MAX(0,O24)),0)</f>
        <v>0</v>
      </c>
      <c r="S25" s="2">
        <f>IF(P25&gt;0,MAX(0,P25-N24-O24),0)</f>
        <v>0</v>
      </c>
    </row>
    <row r="26" ht="27" customHeight="1">
      <c r="A26" s="3" t="n"/>
      <c r="B26" s="3" t="n">
        <v>19</v>
      </c>
      <c r="C26" s="3">
        <f>IF(B26&gt;='Your paths'!C61,1,0)</f>
        <v>0</v>
      </c>
      <c r="D26" s="33">
        <f>IF(C26=1,0,'Your paths'!C37*(1+'Your paths'!$C$20)^INT((B26-1)/12))</f>
        <v>2448</v>
      </c>
      <c r="E26" s="33">
        <f>IF(AND(B26='Your paths'!C61,'Your paths'!C36&lt;&gt;"Rent"),'Your paths'!C63,H25)</f>
        <v>0</v>
      </c>
      <c r="F26" s="33">
        <f>IF(C26=1,MIN('Your paths'!C64,E26*(1+'Your paths'!C62)),0)</f>
        <v>0</v>
      </c>
      <c r="G26" s="33">
        <f>E26*'Your paths'!C62</f>
        <v>0</v>
      </c>
      <c r="H26" s="33">
        <f>MAX(0,E26+G26-F26)</f>
        <v>0</v>
      </c>
      <c r="I26" s="33">
        <f>IF(C26=0,0,IF(AND(B26='Your paths'!C61,'Your paths'!C36&lt;&gt;"Rent"),'Your paths'!C41,I25)*(1+'Your paths'!$C$31)^(1/12))</f>
        <v>0</v>
      </c>
      <c r="J26" s="33">
        <f>(D26+F26+IF(C26=1,('Your paths'!C45/12+'Your paths'!C46+'Your paths'!C47)*(1+'Your paths'!$C$21)^INT((B26-1)/12),0))*'Your paths'!$C$32</f>
        <v>2448</v>
      </c>
      <c r="K26" s="33">
        <f>('Your paths'!$C$9+'Your paths'!C49)*(1+'Your paths'!$C$24)^INT((B26-1)/12)</f>
        <v>7140</v>
      </c>
      <c r="L26" s="33">
        <f>('Your paths'!$C$10+'Your paths'!C48)*(1+'Your paths'!$C$21)^INT((B26-1)/12)</f>
        <v>2040</v>
      </c>
      <c r="M26" s="33">
        <f>IF('Your paths'!C39="",'Your paths'!$C$12,'Your paths'!C39)+IF(AND('Your paths'!C55="Yes",C26=1,B26&gt;='Your paths'!C57),'Your paths'!C56,0)</f>
        <v>1000</v>
      </c>
      <c r="N26" s="33">
        <f>N25+MAX(0,N25)*((1+'Your paths'!$C$29)^(1/12)-1)+Q26-P26+R26</f>
        <v>82814.4822480401</v>
      </c>
      <c r="O26" s="33">
        <f>(O25-R26)*(1+'Your paths'!$C$30)^(1/12)+M26</f>
        <v>104695.785922196</v>
      </c>
      <c r="P26" s="33">
        <f>IF(AND(B26='Your paths'!C61,'Your paths'!C36&lt;&gt;"Rent"),'Your paths'!C42+'Your paths'!C65+IF('Your paths'!C36="Rent then buy",'Your paths'!C38,0),0)</f>
        <v>0</v>
      </c>
      <c r="Q26" s="33">
        <f>K26-SUM(J26,L26,M26)</f>
        <v>1652</v>
      </c>
      <c r="R26" s="33">
        <f>IF(P26&gt;0,MIN(MAX(0,P26-N25),MAX(0,O25)),0)</f>
        <v>0</v>
      </c>
      <c r="S26" s="2">
        <f>IF(P26&gt;0,MAX(0,P26-N25-O25),0)</f>
        <v>0</v>
      </c>
    </row>
    <row r="27" ht="27" customHeight="1">
      <c r="A27" s="3" t="n"/>
      <c r="B27" s="3" t="n">
        <v>20</v>
      </c>
      <c r="C27" s="3">
        <f>IF(B27&gt;='Your paths'!C61,1,0)</f>
        <v>0</v>
      </c>
      <c r="D27" s="33">
        <f>IF(C27=1,0,'Your paths'!C37*(1+'Your paths'!$C$20)^INT((B27-1)/12))</f>
        <v>2448</v>
      </c>
      <c r="E27" s="33">
        <f>IF(AND(B27='Your paths'!C61,'Your paths'!C36&lt;&gt;"Rent"),'Your paths'!C63,H26)</f>
        <v>0</v>
      </c>
      <c r="F27" s="33">
        <f>IF(C27=1,MIN('Your paths'!C64,E27*(1+'Your paths'!C62)),0)</f>
        <v>0</v>
      </c>
      <c r="G27" s="33">
        <f>E27*'Your paths'!C62</f>
        <v>0</v>
      </c>
      <c r="H27" s="33">
        <f>MAX(0,E27+G27-F27)</f>
        <v>0</v>
      </c>
      <c r="I27" s="33">
        <f>IF(C27=0,0,IF(AND(B27='Your paths'!C61,'Your paths'!C36&lt;&gt;"Rent"),'Your paths'!C41,I26)*(1+'Your paths'!$C$31)^(1/12))</f>
        <v>0</v>
      </c>
      <c r="J27" s="33">
        <f>(D27+F27+IF(C27=1,('Your paths'!C45/12+'Your paths'!C46+'Your paths'!C47)*(1+'Your paths'!$C$21)^INT((B27-1)/12),0))*'Your paths'!$C$32</f>
        <v>2448</v>
      </c>
      <c r="K27" s="33">
        <f>('Your paths'!$C$9+'Your paths'!C49)*(1+'Your paths'!$C$24)^INT((B27-1)/12)</f>
        <v>7140</v>
      </c>
      <c r="L27" s="33">
        <f>('Your paths'!$C$10+'Your paths'!C48)*(1+'Your paths'!$C$21)^INT((B27-1)/12)</f>
        <v>2040</v>
      </c>
      <c r="M27" s="33">
        <f>IF('Your paths'!C39="",'Your paths'!$C$12,'Your paths'!C39)+IF(AND('Your paths'!C55="Yes",C27=1,B27&gt;='Your paths'!C57),'Your paths'!C56,0)</f>
        <v>1000</v>
      </c>
      <c r="N27" s="33">
        <f>N26+MAX(0,N26)*((1+'Your paths'!$C$29)^(1/12)-1)+Q27-P27+R27</f>
        <v>84603.2570984491</v>
      </c>
      <c r="O27" s="33">
        <f>(O26-R27)*(1+'Your paths'!$C$30)^(1/12)+M27</f>
        <v>106038.532681598</v>
      </c>
      <c r="P27" s="33">
        <f>IF(AND(B27='Your paths'!C61,'Your paths'!C36&lt;&gt;"Rent"),'Your paths'!C42+'Your paths'!C65+IF('Your paths'!C36="Rent then buy",'Your paths'!C38,0),0)</f>
        <v>0</v>
      </c>
      <c r="Q27" s="33">
        <f>K27-SUM(J27,L27,M27)</f>
        <v>1652</v>
      </c>
      <c r="R27" s="33">
        <f>IF(P27&gt;0,MIN(MAX(0,P27-N26),MAX(0,O26)),0)</f>
        <v>0</v>
      </c>
      <c r="S27" s="2">
        <f>IF(P27&gt;0,MAX(0,P27-N26-O26),0)</f>
        <v>0</v>
      </c>
    </row>
    <row r="28" ht="27" customHeight="1">
      <c r="A28" s="3" t="n"/>
      <c r="B28" s="3" t="n">
        <v>21</v>
      </c>
      <c r="C28" s="3">
        <f>IF(B28&gt;='Your paths'!C61,1,0)</f>
        <v>0</v>
      </c>
      <c r="D28" s="33">
        <f>IF(C28=1,0,'Your paths'!C37*(1+'Your paths'!$C$20)^INT((B28-1)/12))</f>
        <v>2448</v>
      </c>
      <c r="E28" s="33">
        <f>IF(AND(B28='Your paths'!C61,'Your paths'!C36&lt;&gt;"Rent"),'Your paths'!C63,H27)</f>
        <v>0</v>
      </c>
      <c r="F28" s="33">
        <f>IF(C28=1,MIN('Your paths'!C64,E28*(1+'Your paths'!C62)),0)</f>
        <v>0</v>
      </c>
      <c r="G28" s="33">
        <f>E28*'Your paths'!C62</f>
        <v>0</v>
      </c>
      <c r="H28" s="33">
        <f>MAX(0,E28+G28-F28)</f>
        <v>0</v>
      </c>
      <c r="I28" s="33">
        <f>IF(C28=0,0,IF(AND(B28='Your paths'!C61,'Your paths'!C36&lt;&gt;"Rent"),'Your paths'!C41,I27)*(1+'Your paths'!$C$31)^(1/12))</f>
        <v>0</v>
      </c>
      <c r="J28" s="33">
        <f>(D28+F28+IF(C28=1,('Your paths'!C45/12+'Your paths'!C46+'Your paths'!C47)*(1+'Your paths'!$C$21)^INT((B28-1)/12),0))*'Your paths'!$C$32</f>
        <v>2448</v>
      </c>
      <c r="K28" s="33">
        <f>('Your paths'!$C$9+'Your paths'!C49)*(1+'Your paths'!$C$24)^INT((B28-1)/12)</f>
        <v>7140</v>
      </c>
      <c r="L28" s="33">
        <f>('Your paths'!$C$10+'Your paths'!C48)*(1+'Your paths'!$C$21)^INT((B28-1)/12)</f>
        <v>2040</v>
      </c>
      <c r="M28" s="33">
        <f>IF('Your paths'!C39="",'Your paths'!$C$12,'Your paths'!C39)+IF(AND('Your paths'!C55="Yes",C28=1,B28&gt;='Your paths'!C57),'Your paths'!C56,0)</f>
        <v>1000</v>
      </c>
      <c r="N28" s="33">
        <f>N27+MAX(0,N27)*((1+'Your paths'!$C$29)^(1/12)-1)+Q28-P28+R28</f>
        <v>86394.9862559545</v>
      </c>
      <c r="O28" s="33">
        <f>(O27-R28)*(1+'Your paths'!$C$30)^(1/12)+M28</f>
        <v>107385.675244484</v>
      </c>
      <c r="P28" s="33">
        <f>IF(AND(B28='Your paths'!C61,'Your paths'!C36&lt;&gt;"Rent"),'Your paths'!C42+'Your paths'!C65+IF('Your paths'!C36="Rent then buy",'Your paths'!C38,0),0)</f>
        <v>0</v>
      </c>
      <c r="Q28" s="33">
        <f>K28-SUM(J28,L28,M28)</f>
        <v>1652</v>
      </c>
      <c r="R28" s="33">
        <f>IF(P28&gt;0,MIN(MAX(0,P28-N27),MAX(0,O27)),0)</f>
        <v>0</v>
      </c>
      <c r="S28" s="2">
        <f>IF(P28&gt;0,MAX(0,P28-N27-O27),0)</f>
        <v>0</v>
      </c>
    </row>
    <row r="29" ht="27" customHeight="1">
      <c r="A29" s="3" t="n"/>
      <c r="B29" s="3" t="n">
        <v>22</v>
      </c>
      <c r="C29" s="3">
        <f>IF(B29&gt;='Your paths'!C61,1,0)</f>
        <v>0</v>
      </c>
      <c r="D29" s="33">
        <f>IF(C29=1,0,'Your paths'!C37*(1+'Your paths'!$C$20)^INT((B29-1)/12))</f>
        <v>2448</v>
      </c>
      <c r="E29" s="33">
        <f>IF(AND(B29='Your paths'!C61,'Your paths'!C36&lt;&gt;"Rent"),'Your paths'!C63,H28)</f>
        <v>0</v>
      </c>
      <c r="F29" s="33">
        <f>IF(C29=1,MIN('Your paths'!C64,E29*(1+'Your paths'!C62)),0)</f>
        <v>0</v>
      </c>
      <c r="G29" s="33">
        <f>E29*'Your paths'!C62</f>
        <v>0</v>
      </c>
      <c r="H29" s="33">
        <f>MAX(0,E29+G29-F29)</f>
        <v>0</v>
      </c>
      <c r="I29" s="33">
        <f>IF(C29=0,0,IF(AND(B29='Your paths'!C61,'Your paths'!C36&lt;&gt;"Rent"),'Your paths'!C41,I28)*(1+'Your paths'!$C$31)^(1/12))</f>
        <v>0</v>
      </c>
      <c r="J29" s="33">
        <f>(D29+F29+IF(C29=1,('Your paths'!C45/12+'Your paths'!C46+'Your paths'!C47)*(1+'Your paths'!$C$21)^INT((B29-1)/12),0))*'Your paths'!$C$32</f>
        <v>2448</v>
      </c>
      <c r="K29" s="33">
        <f>('Your paths'!$C$9+'Your paths'!C49)*(1+'Your paths'!$C$24)^INT((B29-1)/12)</f>
        <v>7140</v>
      </c>
      <c r="L29" s="33">
        <f>('Your paths'!$C$10+'Your paths'!C48)*(1+'Your paths'!$C$21)^INT((B29-1)/12)</f>
        <v>2040</v>
      </c>
      <c r="M29" s="33">
        <f>IF('Your paths'!C39="",'Your paths'!$C$12,'Your paths'!C39)+IF(AND('Your paths'!C55="Yes",C29=1,B29&gt;='Your paths'!C57),'Your paths'!C56,0)</f>
        <v>1000</v>
      </c>
      <c r="N29" s="33">
        <f>N28+MAX(0,N28)*((1+'Your paths'!$C$29)^(1/12)-1)+Q29-P29+R29</f>
        <v>88189.6745998345</v>
      </c>
      <c r="O29" s="33">
        <f>(O28-R29)*(1+'Your paths'!$C$30)^(1/12)+M29</f>
        <v>108737.22800157</v>
      </c>
      <c r="P29" s="33">
        <f>IF(AND(B29='Your paths'!C61,'Your paths'!C36&lt;&gt;"Rent"),'Your paths'!C42+'Your paths'!C65+IF('Your paths'!C36="Rent then buy",'Your paths'!C38,0),0)</f>
        <v>0</v>
      </c>
      <c r="Q29" s="33">
        <f>K29-SUM(J29,L29,M29)</f>
        <v>1652</v>
      </c>
      <c r="R29" s="33">
        <f>IF(P29&gt;0,MIN(MAX(0,P29-N28),MAX(0,O28)),0)</f>
        <v>0</v>
      </c>
      <c r="S29" s="2">
        <f>IF(P29&gt;0,MAX(0,P29-N28-O28),0)</f>
        <v>0</v>
      </c>
    </row>
    <row r="30" ht="27" customHeight="1">
      <c r="A30" s="3" t="n"/>
      <c r="B30" s="3" t="n">
        <v>23</v>
      </c>
      <c r="C30" s="3">
        <f>IF(B30&gt;='Your paths'!C61,1,0)</f>
        <v>0</v>
      </c>
      <c r="D30" s="33">
        <f>IF(C30=1,0,'Your paths'!C37*(1+'Your paths'!$C$20)^INT((B30-1)/12))</f>
        <v>2448</v>
      </c>
      <c r="E30" s="33">
        <f>IF(AND(B30='Your paths'!C61,'Your paths'!C36&lt;&gt;"Rent"),'Your paths'!C63,H29)</f>
        <v>0</v>
      </c>
      <c r="F30" s="33">
        <f>IF(C30=1,MIN('Your paths'!C64,E30*(1+'Your paths'!C62)),0)</f>
        <v>0</v>
      </c>
      <c r="G30" s="33">
        <f>E30*'Your paths'!C62</f>
        <v>0</v>
      </c>
      <c r="H30" s="33">
        <f>MAX(0,E30+G30-F30)</f>
        <v>0</v>
      </c>
      <c r="I30" s="33">
        <f>IF(C30=0,0,IF(AND(B30='Your paths'!C61,'Your paths'!C36&lt;&gt;"Rent"),'Your paths'!C41,I29)*(1+'Your paths'!$C$31)^(1/12))</f>
        <v>0</v>
      </c>
      <c r="J30" s="33">
        <f>(D30+F30+IF(C30=1,('Your paths'!C45/12+'Your paths'!C46+'Your paths'!C47)*(1+'Your paths'!$C$21)^INT((B30-1)/12),0))*'Your paths'!$C$32</f>
        <v>2448</v>
      </c>
      <c r="K30" s="33">
        <f>('Your paths'!$C$9+'Your paths'!C49)*(1+'Your paths'!$C$24)^INT((B30-1)/12)</f>
        <v>7140</v>
      </c>
      <c r="L30" s="33">
        <f>('Your paths'!$C$10+'Your paths'!C48)*(1+'Your paths'!$C$21)^INT((B30-1)/12)</f>
        <v>2040</v>
      </c>
      <c r="M30" s="33">
        <f>IF('Your paths'!C39="",'Your paths'!$C$12,'Your paths'!C39)+IF(AND('Your paths'!C55="Yes",C30=1,B30&gt;='Your paths'!C57),'Your paths'!C56,0)</f>
        <v>1000</v>
      </c>
      <c r="N30" s="33">
        <f>N29+MAX(0,N29)*((1+'Your paths'!$C$29)^(1/12)-1)+Q30-P30+R30</f>
        <v>89987.327017426</v>
      </c>
      <c r="O30" s="33">
        <f>(O29-R30)*(1+'Your paths'!$C$30)^(1/12)+M30</f>
        <v>110093.205390685</v>
      </c>
      <c r="P30" s="33">
        <f>IF(AND(B30='Your paths'!C61,'Your paths'!C36&lt;&gt;"Rent"),'Your paths'!C42+'Your paths'!C65+IF('Your paths'!C36="Rent then buy",'Your paths'!C38,0),0)</f>
        <v>0</v>
      </c>
      <c r="Q30" s="33">
        <f>K30-SUM(J30,L30,M30)</f>
        <v>1652</v>
      </c>
      <c r="R30" s="33">
        <f>IF(P30&gt;0,MIN(MAX(0,P30-N29),MAX(0,O29)),0)</f>
        <v>0</v>
      </c>
      <c r="S30" s="2">
        <f>IF(P30&gt;0,MAX(0,P30-N29-O29),0)</f>
        <v>0</v>
      </c>
    </row>
    <row r="31" ht="27" customHeight="1">
      <c r="A31" s="3" t="n"/>
      <c r="B31" s="3" t="n">
        <v>24</v>
      </c>
      <c r="C31" s="3">
        <f>IF(B31&gt;='Your paths'!C61,1,0)</f>
        <v>0</v>
      </c>
      <c r="D31" s="33">
        <f>IF(C31=1,0,'Your paths'!C37*(1+'Your paths'!$C$20)^INT((B31-1)/12))</f>
        <v>2448</v>
      </c>
      <c r="E31" s="33">
        <f>IF(AND(B31='Your paths'!C61,'Your paths'!C36&lt;&gt;"Rent"),'Your paths'!C63,H30)</f>
        <v>0</v>
      </c>
      <c r="F31" s="33">
        <f>IF(C31=1,MIN('Your paths'!C64,E31*(1+'Your paths'!C62)),0)</f>
        <v>0</v>
      </c>
      <c r="G31" s="33">
        <f>E31*'Your paths'!C62</f>
        <v>0</v>
      </c>
      <c r="H31" s="33">
        <f>MAX(0,E31+G31-F31)</f>
        <v>0</v>
      </c>
      <c r="I31" s="33">
        <f>IF(C31=0,0,IF(AND(B31='Your paths'!C61,'Your paths'!C36&lt;&gt;"Rent"),'Your paths'!C41,I30)*(1+'Your paths'!$C$31)^(1/12))</f>
        <v>0</v>
      </c>
      <c r="J31" s="33">
        <f>(D31+F31+IF(C31=1,('Your paths'!C45/12+'Your paths'!C46+'Your paths'!C47)*(1+'Your paths'!$C$21)^INT((B31-1)/12),0))*'Your paths'!$C$32</f>
        <v>2448</v>
      </c>
      <c r="K31" s="33">
        <f>('Your paths'!$C$9+'Your paths'!C49)*(1+'Your paths'!$C$24)^INT((B31-1)/12)</f>
        <v>7140</v>
      </c>
      <c r="L31" s="33">
        <f>('Your paths'!$C$10+'Your paths'!C48)*(1+'Your paths'!$C$21)^INT((B31-1)/12)</f>
        <v>2040</v>
      </c>
      <c r="M31" s="33">
        <f>IF('Your paths'!C39="",'Your paths'!$C$12,'Your paths'!C39)+IF(AND('Your paths'!C55="Yes",C31=1,B31&gt;='Your paths'!C57),'Your paths'!C56,0)</f>
        <v>1000</v>
      </c>
      <c r="N31" s="33">
        <f>N30+MAX(0,N30)*((1+'Your paths'!$C$29)^(1/12)-1)+Q31-P31+R31</f>
        <v>91787.9484041377</v>
      </c>
      <c r="O31" s="33">
        <f>(O30-R31)*(1+'Your paths'!$C$30)^(1/12)+M31</f>
        <v>111453.621896922</v>
      </c>
      <c r="P31" s="33">
        <f>IF(AND(B31='Your paths'!C61,'Your paths'!C36&lt;&gt;"Rent"),'Your paths'!C42+'Your paths'!C65+IF('Your paths'!C36="Rent then buy",'Your paths'!C38,0),0)</f>
        <v>0</v>
      </c>
      <c r="Q31" s="33">
        <f>K31-SUM(J31,L31,M31)</f>
        <v>1652</v>
      </c>
      <c r="R31" s="33">
        <f>IF(P31&gt;0,MIN(MAX(0,P31-N30),MAX(0,O30)),0)</f>
        <v>0</v>
      </c>
      <c r="S31" s="2">
        <f>IF(P31&gt;0,MAX(0,P31-N30-O30),0)</f>
        <v>0</v>
      </c>
    </row>
    <row r="32" ht="27" customHeight="1">
      <c r="A32" s="3" t="n"/>
      <c r="B32" s="3" t="n">
        <v>25</v>
      </c>
      <c r="C32" s="3">
        <f>IF(B32&gt;='Your paths'!C61,1,0)</f>
        <v>0</v>
      </c>
      <c r="D32" s="33">
        <f>IF(C32=1,0,'Your paths'!C37*(1+'Your paths'!$C$20)^INT((B32-1)/12))</f>
        <v>2496.96</v>
      </c>
      <c r="E32" s="33">
        <f>IF(AND(B32='Your paths'!C61,'Your paths'!C36&lt;&gt;"Rent"),'Your paths'!C63,H31)</f>
        <v>0</v>
      </c>
      <c r="F32" s="33">
        <f>IF(C32=1,MIN('Your paths'!C64,E32*(1+'Your paths'!C62)),0)</f>
        <v>0</v>
      </c>
      <c r="G32" s="33">
        <f>E32*'Your paths'!C62</f>
        <v>0</v>
      </c>
      <c r="H32" s="33">
        <f>MAX(0,E32+G32-F32)</f>
        <v>0</v>
      </c>
      <c r="I32" s="33">
        <f>IF(C32=0,0,IF(AND(B32='Your paths'!C61,'Your paths'!C36&lt;&gt;"Rent"),'Your paths'!C41,I31)*(1+'Your paths'!$C$31)^(1/12))</f>
        <v>0</v>
      </c>
      <c r="J32" s="33">
        <f>(D32+F32+IF(C32=1,('Your paths'!C45/12+'Your paths'!C46+'Your paths'!C47)*(1+'Your paths'!$C$21)^INT((B32-1)/12),0))*'Your paths'!$C$32</f>
        <v>2496.96</v>
      </c>
      <c r="K32" s="33">
        <f>('Your paths'!$C$9+'Your paths'!C49)*(1+'Your paths'!$C$24)^INT((B32-1)/12)</f>
        <v>7282.8</v>
      </c>
      <c r="L32" s="33">
        <f>('Your paths'!$C$10+'Your paths'!C48)*(1+'Your paths'!$C$21)^INT((B32-1)/12)</f>
        <v>2080.8</v>
      </c>
      <c r="M32" s="33">
        <f>IF('Your paths'!C39="",'Your paths'!$C$12,'Your paths'!C39)+IF(AND('Your paths'!C55="Yes",C32=1,B32&gt;='Your paths'!C57),'Your paths'!C56,0)</f>
        <v>1000</v>
      </c>
      <c r="N32" s="33">
        <f>N31+MAX(0,N31)*((1+'Your paths'!$C$29)^(1/12)-1)+Q32-P32+R32</f>
        <v>93644.5836634636</v>
      </c>
      <c r="O32" s="33">
        <f>(O31-R32)*(1+'Your paths'!$C$30)^(1/12)+M32</f>
        <v>112818.492052796</v>
      </c>
      <c r="P32" s="33">
        <f>IF(AND(B32='Your paths'!C61,'Your paths'!C36&lt;&gt;"Rent"),'Your paths'!C42+'Your paths'!C65+IF('Your paths'!C36="Rent then buy",'Your paths'!C38,0),0)</f>
        <v>0</v>
      </c>
      <c r="Q32" s="33">
        <f>K32-SUM(J32,L32,M32)</f>
        <v>1705.04</v>
      </c>
      <c r="R32" s="33">
        <f>IF(P32&gt;0,MIN(MAX(0,P32-N31),MAX(0,O31)),0)</f>
        <v>0</v>
      </c>
      <c r="S32" s="2">
        <f>IF(P32&gt;0,MAX(0,P32-N31-O31),0)</f>
        <v>0</v>
      </c>
    </row>
    <row r="33" ht="27" customHeight="1">
      <c r="A33" s="3" t="n"/>
      <c r="B33" s="3" t="n">
        <v>26</v>
      </c>
      <c r="C33" s="3">
        <f>IF(B33&gt;='Your paths'!C61,1,0)</f>
        <v>0</v>
      </c>
      <c r="D33" s="33">
        <f>IF(C33=1,0,'Your paths'!C37*(1+'Your paths'!$C$20)^INT((B33-1)/12))</f>
        <v>2496.96</v>
      </c>
      <c r="E33" s="33">
        <f>IF(AND(B33='Your paths'!C61,'Your paths'!C36&lt;&gt;"Rent"),'Your paths'!C63,H32)</f>
        <v>0</v>
      </c>
      <c r="F33" s="33">
        <f>IF(C33=1,MIN('Your paths'!C64,E33*(1+'Your paths'!C62)),0)</f>
        <v>0</v>
      </c>
      <c r="G33" s="33">
        <f>E33*'Your paths'!C62</f>
        <v>0</v>
      </c>
      <c r="H33" s="33">
        <f>MAX(0,E33+G33-F33)</f>
        <v>0</v>
      </c>
      <c r="I33" s="33">
        <f>IF(C33=0,0,IF(AND(B33='Your paths'!C61,'Your paths'!C36&lt;&gt;"Rent"),'Your paths'!C41,I32)*(1+'Your paths'!$C$31)^(1/12))</f>
        <v>0</v>
      </c>
      <c r="J33" s="33">
        <f>(D33+F33+IF(C33=1,('Your paths'!C45/12+'Your paths'!C46+'Your paths'!C47)*(1+'Your paths'!$C$21)^INT((B33-1)/12),0))*'Your paths'!$C$32</f>
        <v>2496.96</v>
      </c>
      <c r="K33" s="33">
        <f>('Your paths'!$C$9+'Your paths'!C49)*(1+'Your paths'!$C$24)^INT((B33-1)/12)</f>
        <v>7282.8</v>
      </c>
      <c r="L33" s="33">
        <f>('Your paths'!$C$10+'Your paths'!C48)*(1+'Your paths'!$C$21)^INT((B33-1)/12)</f>
        <v>2080.8</v>
      </c>
      <c r="M33" s="33">
        <f>IF('Your paths'!C39="",'Your paths'!$C$12,'Your paths'!C39)+IF(AND('Your paths'!C55="Yes",C33=1,B33&gt;='Your paths'!C57),'Your paths'!C56,0)</f>
        <v>1000</v>
      </c>
      <c r="N33" s="33">
        <f>N32+MAX(0,N32)*((1+'Your paths'!$C$29)^(1/12)-1)+Q33-P33+R33</f>
        <v>95504.2853068683</v>
      </c>
      <c r="O33" s="33">
        <f>(O32-R33)*(1+'Your paths'!$C$30)^(1/12)+M33</f>
        <v>114187.830438397</v>
      </c>
      <c r="P33" s="33">
        <f>IF(AND(B33='Your paths'!C61,'Your paths'!C36&lt;&gt;"Rent"),'Your paths'!C42+'Your paths'!C65+IF('Your paths'!C36="Rent then buy",'Your paths'!C38,0),0)</f>
        <v>0</v>
      </c>
      <c r="Q33" s="33">
        <f>K33-SUM(J33,L33,M33)</f>
        <v>1705.04</v>
      </c>
      <c r="R33" s="33">
        <f>IF(P33&gt;0,MIN(MAX(0,P33-N32),MAX(0,O32)),0)</f>
        <v>0</v>
      </c>
      <c r="S33" s="2">
        <f>IF(P33&gt;0,MAX(0,P33-N32-O32),0)</f>
        <v>0</v>
      </c>
    </row>
    <row r="34" ht="27" customHeight="1">
      <c r="A34" s="3" t="n"/>
      <c r="B34" s="3" t="n">
        <v>27</v>
      </c>
      <c r="C34" s="3">
        <f>IF(B34&gt;='Your paths'!C61,1,0)</f>
        <v>0</v>
      </c>
      <c r="D34" s="33">
        <f>IF(C34=1,0,'Your paths'!C37*(1+'Your paths'!$C$20)^INT((B34-1)/12))</f>
        <v>2496.96</v>
      </c>
      <c r="E34" s="33">
        <f>IF(AND(B34='Your paths'!C61,'Your paths'!C36&lt;&gt;"Rent"),'Your paths'!C63,H33)</f>
        <v>0</v>
      </c>
      <c r="F34" s="33">
        <f>IF(C34=1,MIN('Your paths'!C64,E34*(1+'Your paths'!C62)),0)</f>
        <v>0</v>
      </c>
      <c r="G34" s="33">
        <f>E34*'Your paths'!C62</f>
        <v>0</v>
      </c>
      <c r="H34" s="33">
        <f>MAX(0,E34+G34-F34)</f>
        <v>0</v>
      </c>
      <c r="I34" s="33">
        <f>IF(C34=0,0,IF(AND(B34='Your paths'!C61,'Your paths'!C36&lt;&gt;"Rent"),'Your paths'!C41,I33)*(1+'Your paths'!$C$31)^(1/12))</f>
        <v>0</v>
      </c>
      <c r="J34" s="33">
        <f>(D34+F34+IF(C34=1,('Your paths'!C45/12+'Your paths'!C46+'Your paths'!C47)*(1+'Your paths'!$C$21)^INT((B34-1)/12),0))*'Your paths'!$C$32</f>
        <v>2496.96</v>
      </c>
      <c r="K34" s="33">
        <f>('Your paths'!$C$9+'Your paths'!C49)*(1+'Your paths'!$C$24)^INT((B34-1)/12)</f>
        <v>7282.8</v>
      </c>
      <c r="L34" s="33">
        <f>('Your paths'!$C$10+'Your paths'!C48)*(1+'Your paths'!$C$21)^INT((B34-1)/12)</f>
        <v>2080.8</v>
      </c>
      <c r="M34" s="33">
        <f>IF('Your paths'!C39="",'Your paths'!$C$12,'Your paths'!C39)+IF(AND('Your paths'!C55="Yes",C34=1,B34&gt;='Your paths'!C57),'Your paths'!C56,0)</f>
        <v>1000</v>
      </c>
      <c r="N34" s="33">
        <f>N33+MAX(0,N33)*((1+'Your paths'!$C$29)^(1/12)-1)+Q34-P34+R34</f>
        <v>97367.0583987344</v>
      </c>
      <c r="O34" s="33">
        <f>(O33-R34)*(1+'Your paths'!$C$30)^(1/12)+M34</f>
        <v>115561.651681546</v>
      </c>
      <c r="P34" s="33">
        <f>IF(AND(B34='Your paths'!C61,'Your paths'!C36&lt;&gt;"Rent"),'Your paths'!C42+'Your paths'!C65+IF('Your paths'!C36="Rent then buy",'Your paths'!C38,0),0)</f>
        <v>0</v>
      </c>
      <c r="Q34" s="33">
        <f>K34-SUM(J34,L34,M34)</f>
        <v>1705.04</v>
      </c>
      <c r="R34" s="33">
        <f>IF(P34&gt;0,MIN(MAX(0,P34-N33),MAX(0,O33)),0)</f>
        <v>0</v>
      </c>
      <c r="S34" s="2">
        <f>IF(P34&gt;0,MAX(0,P34-N33-O33),0)</f>
        <v>0</v>
      </c>
    </row>
    <row r="35" ht="27" customHeight="1">
      <c r="A35" s="3" t="n"/>
      <c r="B35" s="3" t="n">
        <v>28</v>
      </c>
      <c r="C35" s="3">
        <f>IF(B35&gt;='Your paths'!C61,1,0)</f>
        <v>0</v>
      </c>
      <c r="D35" s="33">
        <f>IF(C35=1,0,'Your paths'!C37*(1+'Your paths'!$C$20)^INT((B35-1)/12))</f>
        <v>2496.96</v>
      </c>
      <c r="E35" s="33">
        <f>IF(AND(B35='Your paths'!C61,'Your paths'!C36&lt;&gt;"Rent"),'Your paths'!C63,H34)</f>
        <v>0</v>
      </c>
      <c r="F35" s="33">
        <f>IF(C35=1,MIN('Your paths'!C64,E35*(1+'Your paths'!C62)),0)</f>
        <v>0</v>
      </c>
      <c r="G35" s="33">
        <f>E35*'Your paths'!C62</f>
        <v>0</v>
      </c>
      <c r="H35" s="33">
        <f>MAX(0,E35+G35-F35)</f>
        <v>0</v>
      </c>
      <c r="I35" s="33">
        <f>IF(C35=0,0,IF(AND(B35='Your paths'!C61,'Your paths'!C36&lt;&gt;"Rent"),'Your paths'!C41,I34)*(1+'Your paths'!$C$31)^(1/12))</f>
        <v>0</v>
      </c>
      <c r="J35" s="33">
        <f>(D35+F35+IF(C35=1,('Your paths'!C45/12+'Your paths'!C46+'Your paths'!C47)*(1+'Your paths'!$C$21)^INT((B35-1)/12),0))*'Your paths'!$C$32</f>
        <v>2496.96</v>
      </c>
      <c r="K35" s="33">
        <f>('Your paths'!$C$9+'Your paths'!C49)*(1+'Your paths'!$C$24)^INT((B35-1)/12)</f>
        <v>7282.8</v>
      </c>
      <c r="L35" s="33">
        <f>('Your paths'!$C$10+'Your paths'!C48)*(1+'Your paths'!$C$21)^INT((B35-1)/12)</f>
        <v>2080.8</v>
      </c>
      <c r="M35" s="33">
        <f>IF('Your paths'!C39="",'Your paths'!$C$12,'Your paths'!C39)+IF(AND('Your paths'!C55="Yes",C35=1,B35&gt;='Your paths'!C57),'Your paths'!C56,0)</f>
        <v>1000</v>
      </c>
      <c r="N35" s="33">
        <f>N34+MAX(0,N34)*((1+'Your paths'!$C$29)^(1/12)-1)+Q35-P35+R35</f>
        <v>99232.9080118087</v>
      </c>
      <c r="O35" s="33">
        <f>(O34-R35)*(1+'Your paths'!$C$30)^(1/12)+M35</f>
        <v>116939.970457953</v>
      </c>
      <c r="P35" s="33">
        <f>IF(AND(B35='Your paths'!C61,'Your paths'!C36&lt;&gt;"Rent"),'Your paths'!C42+'Your paths'!C65+IF('Your paths'!C36="Rent then buy",'Your paths'!C38,0),0)</f>
        <v>0</v>
      </c>
      <c r="Q35" s="33">
        <f>K35-SUM(J35,L35,M35)</f>
        <v>1705.04</v>
      </c>
      <c r="R35" s="33">
        <f>IF(P35&gt;0,MIN(MAX(0,P35-N34),MAX(0,O34)),0)</f>
        <v>0</v>
      </c>
      <c r="S35" s="2">
        <f>IF(P35&gt;0,MAX(0,P35-N34-O34),0)</f>
        <v>0</v>
      </c>
    </row>
    <row r="36" ht="27" customHeight="1">
      <c r="A36" s="3" t="n"/>
      <c r="B36" s="3" t="n">
        <v>29</v>
      </c>
      <c r="C36" s="3">
        <f>IF(B36&gt;='Your paths'!C61,1,0)</f>
        <v>0</v>
      </c>
      <c r="D36" s="33">
        <f>IF(C36=1,0,'Your paths'!C37*(1+'Your paths'!$C$20)^INT((B36-1)/12))</f>
        <v>2496.96</v>
      </c>
      <c r="E36" s="33">
        <f>IF(AND(B36='Your paths'!C61,'Your paths'!C36&lt;&gt;"Rent"),'Your paths'!C63,H35)</f>
        <v>0</v>
      </c>
      <c r="F36" s="33">
        <f>IF(C36=1,MIN('Your paths'!C64,E36*(1+'Your paths'!C62)),0)</f>
        <v>0</v>
      </c>
      <c r="G36" s="33">
        <f>E36*'Your paths'!C62</f>
        <v>0</v>
      </c>
      <c r="H36" s="33">
        <f>MAX(0,E36+G36-F36)</f>
        <v>0</v>
      </c>
      <c r="I36" s="33">
        <f>IF(C36=0,0,IF(AND(B36='Your paths'!C61,'Your paths'!C36&lt;&gt;"Rent"),'Your paths'!C41,I35)*(1+'Your paths'!$C$31)^(1/12))</f>
        <v>0</v>
      </c>
      <c r="J36" s="33">
        <f>(D36+F36+IF(C36=1,('Your paths'!C45/12+'Your paths'!C46+'Your paths'!C47)*(1+'Your paths'!$C$21)^INT((B36-1)/12),0))*'Your paths'!$C$32</f>
        <v>2496.96</v>
      </c>
      <c r="K36" s="33">
        <f>('Your paths'!$C$9+'Your paths'!C49)*(1+'Your paths'!$C$24)^INT((B36-1)/12)</f>
        <v>7282.8</v>
      </c>
      <c r="L36" s="33">
        <f>('Your paths'!$C$10+'Your paths'!C48)*(1+'Your paths'!$C$21)^INT((B36-1)/12)</f>
        <v>2080.8</v>
      </c>
      <c r="M36" s="33">
        <f>IF('Your paths'!C39="",'Your paths'!$C$12,'Your paths'!C39)+IF(AND('Your paths'!C55="Yes",C36=1,B36&gt;='Your paths'!C57),'Your paths'!C56,0)</f>
        <v>1000</v>
      </c>
      <c r="N36" s="33">
        <f>N35+MAX(0,N35)*((1+'Your paths'!$C$29)^(1/12)-1)+Q36-P36+R36</f>
        <v>101101.839227216</v>
      </c>
      <c r="O36" s="33">
        <f>(O35-R36)*(1+'Your paths'!$C$30)^(1/12)+M36</f>
        <v>118322.80149137</v>
      </c>
      <c r="P36" s="33">
        <f>IF(AND(B36='Your paths'!C61,'Your paths'!C36&lt;&gt;"Rent"),'Your paths'!C42+'Your paths'!C65+IF('Your paths'!C36="Rent then buy",'Your paths'!C38,0),0)</f>
        <v>0</v>
      </c>
      <c r="Q36" s="33">
        <f>K36-SUM(J36,L36,M36)</f>
        <v>1705.04</v>
      </c>
      <c r="R36" s="33">
        <f>IF(P36&gt;0,MIN(MAX(0,P36-N35),MAX(0,O35)),0)</f>
        <v>0</v>
      </c>
      <c r="S36" s="2">
        <f>IF(P36&gt;0,MAX(0,P36-N35-O35),0)</f>
        <v>0</v>
      </c>
    </row>
    <row r="37" ht="27" customHeight="1">
      <c r="A37" s="3" t="n"/>
      <c r="B37" s="3" t="n">
        <v>30</v>
      </c>
      <c r="C37" s="3">
        <f>IF(B37&gt;='Your paths'!C61,1,0)</f>
        <v>0</v>
      </c>
      <c r="D37" s="33">
        <f>IF(C37=1,0,'Your paths'!C37*(1+'Your paths'!$C$20)^INT((B37-1)/12))</f>
        <v>2496.96</v>
      </c>
      <c r="E37" s="33">
        <f>IF(AND(B37='Your paths'!C61,'Your paths'!C36&lt;&gt;"Rent"),'Your paths'!C63,H36)</f>
        <v>0</v>
      </c>
      <c r="F37" s="33">
        <f>IF(C37=1,MIN('Your paths'!C64,E37*(1+'Your paths'!C62)),0)</f>
        <v>0</v>
      </c>
      <c r="G37" s="33">
        <f>E37*'Your paths'!C62</f>
        <v>0</v>
      </c>
      <c r="H37" s="33">
        <f>MAX(0,E37+G37-F37)</f>
        <v>0</v>
      </c>
      <c r="I37" s="33">
        <f>IF(C37=0,0,IF(AND(B37='Your paths'!C61,'Your paths'!C36&lt;&gt;"Rent"),'Your paths'!C41,I36)*(1+'Your paths'!$C$31)^(1/12))</f>
        <v>0</v>
      </c>
      <c r="J37" s="33">
        <f>(D37+F37+IF(C37=1,('Your paths'!C45/12+'Your paths'!C46+'Your paths'!C47)*(1+'Your paths'!$C$21)^INT((B37-1)/12),0))*'Your paths'!$C$32</f>
        <v>2496.96</v>
      </c>
      <c r="K37" s="33">
        <f>('Your paths'!$C$9+'Your paths'!C49)*(1+'Your paths'!$C$24)^INT((B37-1)/12)</f>
        <v>7282.8</v>
      </c>
      <c r="L37" s="33">
        <f>('Your paths'!$C$10+'Your paths'!C48)*(1+'Your paths'!$C$21)^INT((B37-1)/12)</f>
        <v>2080.8</v>
      </c>
      <c r="M37" s="33">
        <f>IF('Your paths'!C39="",'Your paths'!$C$12,'Your paths'!C39)+IF(AND('Your paths'!C55="Yes",C37=1,B37&gt;='Your paths'!C57),'Your paths'!C56,0)</f>
        <v>1000</v>
      </c>
      <c r="N37" s="33">
        <f>N36+MAX(0,N36)*((1+'Your paths'!$C$29)^(1/12)-1)+Q37-P37+R37</f>
        <v>102973.857134474</v>
      </c>
      <c r="O37" s="33">
        <f>(O36-R37)*(1+'Your paths'!$C$30)^(1/12)+M37</f>
        <v>119710.159553754</v>
      </c>
      <c r="P37" s="33">
        <f>IF(AND(B37='Your paths'!C61,'Your paths'!C36&lt;&gt;"Rent"),'Your paths'!C42+'Your paths'!C65+IF('Your paths'!C36="Rent then buy",'Your paths'!C38,0),0)</f>
        <v>0</v>
      </c>
      <c r="Q37" s="33">
        <f>K37-SUM(J37,L37,M37)</f>
        <v>1705.04</v>
      </c>
      <c r="R37" s="33">
        <f>IF(P37&gt;0,MIN(MAX(0,P37-N36),MAX(0,O36)),0)</f>
        <v>0</v>
      </c>
      <c r="S37" s="2">
        <f>IF(P37&gt;0,MAX(0,P37-N36-O36),0)</f>
        <v>0</v>
      </c>
    </row>
    <row r="38" ht="27" customHeight="1">
      <c r="A38" s="3" t="n"/>
      <c r="B38" s="3" t="n">
        <v>31</v>
      </c>
      <c r="C38" s="3">
        <f>IF(B38&gt;='Your paths'!C61,1,0)</f>
        <v>0</v>
      </c>
      <c r="D38" s="33">
        <f>IF(C38=1,0,'Your paths'!C37*(1+'Your paths'!$C$20)^INT((B38-1)/12))</f>
        <v>2496.96</v>
      </c>
      <c r="E38" s="33">
        <f>IF(AND(B38='Your paths'!C61,'Your paths'!C36&lt;&gt;"Rent"),'Your paths'!C63,H37)</f>
        <v>0</v>
      </c>
      <c r="F38" s="33">
        <f>IF(C38=1,MIN('Your paths'!C64,E38*(1+'Your paths'!C62)),0)</f>
        <v>0</v>
      </c>
      <c r="G38" s="33">
        <f>E38*'Your paths'!C62</f>
        <v>0</v>
      </c>
      <c r="H38" s="33">
        <f>MAX(0,E38+G38-F38)</f>
        <v>0</v>
      </c>
      <c r="I38" s="33">
        <f>IF(C38=0,0,IF(AND(B38='Your paths'!C61,'Your paths'!C36&lt;&gt;"Rent"),'Your paths'!C41,I37)*(1+'Your paths'!$C$31)^(1/12))</f>
        <v>0</v>
      </c>
      <c r="J38" s="33">
        <f>(D38+F38+IF(C38=1,('Your paths'!C45/12+'Your paths'!C46+'Your paths'!C47)*(1+'Your paths'!$C$21)^INT((B38-1)/12),0))*'Your paths'!$C$32</f>
        <v>2496.96</v>
      </c>
      <c r="K38" s="33">
        <f>('Your paths'!$C$9+'Your paths'!C49)*(1+'Your paths'!$C$24)^INT((B38-1)/12)</f>
        <v>7282.8</v>
      </c>
      <c r="L38" s="33">
        <f>('Your paths'!$C$10+'Your paths'!C48)*(1+'Your paths'!$C$21)^INT((B38-1)/12)</f>
        <v>2080.8</v>
      </c>
      <c r="M38" s="33">
        <f>IF('Your paths'!C39="",'Your paths'!$C$12,'Your paths'!C39)+IF(AND('Your paths'!C55="Yes",C38=1,B38&gt;='Your paths'!C57),'Your paths'!C56,0)</f>
        <v>1000</v>
      </c>
      <c r="N38" s="33">
        <f>N37+MAX(0,N37)*((1+'Your paths'!$C$29)^(1/12)-1)+Q38-P38+R38</f>
        <v>104848.966831503</v>
      </c>
      <c r="O38" s="33">
        <f>(O37-R38)*(1+'Your paths'!$C$30)^(1/12)+M38</f>
        <v>121102.059465418</v>
      </c>
      <c r="P38" s="33">
        <f>IF(AND(B38='Your paths'!C61,'Your paths'!C36&lt;&gt;"Rent"),'Your paths'!C42+'Your paths'!C65+IF('Your paths'!C36="Rent then buy",'Your paths'!C38,0),0)</f>
        <v>0</v>
      </c>
      <c r="Q38" s="33">
        <f>K38-SUM(J38,L38,M38)</f>
        <v>1705.04</v>
      </c>
      <c r="R38" s="33">
        <f>IF(P38&gt;0,MIN(MAX(0,P38-N37),MAX(0,O37)),0)</f>
        <v>0</v>
      </c>
      <c r="S38" s="2">
        <f>IF(P38&gt;0,MAX(0,P38-N37-O37),0)</f>
        <v>0</v>
      </c>
    </row>
    <row r="39" ht="27" customHeight="1">
      <c r="A39" s="3" t="n"/>
      <c r="B39" s="3" t="n">
        <v>32</v>
      </c>
      <c r="C39" s="3">
        <f>IF(B39&gt;='Your paths'!C61,1,0)</f>
        <v>0</v>
      </c>
      <c r="D39" s="33">
        <f>IF(C39=1,0,'Your paths'!C37*(1+'Your paths'!$C$20)^INT((B39-1)/12))</f>
        <v>2496.96</v>
      </c>
      <c r="E39" s="33">
        <f>IF(AND(B39='Your paths'!C61,'Your paths'!C36&lt;&gt;"Rent"),'Your paths'!C63,H38)</f>
        <v>0</v>
      </c>
      <c r="F39" s="33">
        <f>IF(C39=1,MIN('Your paths'!C64,E39*(1+'Your paths'!C62)),0)</f>
        <v>0</v>
      </c>
      <c r="G39" s="33">
        <f>E39*'Your paths'!C62</f>
        <v>0</v>
      </c>
      <c r="H39" s="33">
        <f>MAX(0,E39+G39-F39)</f>
        <v>0</v>
      </c>
      <c r="I39" s="33">
        <f>IF(C39=0,0,IF(AND(B39='Your paths'!C61,'Your paths'!C36&lt;&gt;"Rent"),'Your paths'!C41,I38)*(1+'Your paths'!$C$31)^(1/12))</f>
        <v>0</v>
      </c>
      <c r="J39" s="33">
        <f>(D39+F39+IF(C39=1,('Your paths'!C45/12+'Your paths'!C46+'Your paths'!C47)*(1+'Your paths'!$C$21)^INT((B39-1)/12),0))*'Your paths'!$C$32</f>
        <v>2496.96</v>
      </c>
      <c r="K39" s="33">
        <f>('Your paths'!$C$9+'Your paths'!C49)*(1+'Your paths'!$C$24)^INT((B39-1)/12)</f>
        <v>7282.8</v>
      </c>
      <c r="L39" s="33">
        <f>('Your paths'!$C$10+'Your paths'!C48)*(1+'Your paths'!$C$21)^INT((B39-1)/12)</f>
        <v>2080.8</v>
      </c>
      <c r="M39" s="33">
        <f>IF('Your paths'!C39="",'Your paths'!$C$12,'Your paths'!C39)+IF(AND('Your paths'!C55="Yes",C39=1,B39&gt;='Your paths'!C57),'Your paths'!C56,0)</f>
        <v>1000</v>
      </c>
      <c r="N39" s="33">
        <f>N38+MAX(0,N38)*((1+'Your paths'!$C$29)^(1/12)-1)+Q39-P39+R39</f>
        <v>106727.173424648</v>
      </c>
      <c r="O39" s="33">
        <f>(O38-R39)*(1+'Your paths'!$C$30)^(1/12)+M39</f>
        <v>122498.516095196</v>
      </c>
      <c r="P39" s="33">
        <f>IF(AND(B39='Your paths'!C61,'Your paths'!C36&lt;&gt;"Rent"),'Your paths'!C42+'Your paths'!C65+IF('Your paths'!C36="Rent then buy",'Your paths'!C38,0),0)</f>
        <v>0</v>
      </c>
      <c r="Q39" s="33">
        <f>K39-SUM(J39,L39,M39)</f>
        <v>1705.04</v>
      </c>
      <c r="R39" s="33">
        <f>IF(P39&gt;0,MIN(MAX(0,P39-N38),MAX(0,O38)),0)</f>
        <v>0</v>
      </c>
      <c r="S39" s="2">
        <f>IF(P39&gt;0,MAX(0,P39-N38-O38),0)</f>
        <v>0</v>
      </c>
    </row>
    <row r="40" ht="27" customHeight="1">
      <c r="A40" s="3" t="n"/>
      <c r="B40" s="3" t="n">
        <v>33</v>
      </c>
      <c r="C40" s="3">
        <f>IF(B40&gt;='Your paths'!C61,1,0)</f>
        <v>0</v>
      </c>
      <c r="D40" s="33">
        <f>IF(C40=1,0,'Your paths'!C37*(1+'Your paths'!$C$20)^INT((B40-1)/12))</f>
        <v>2496.96</v>
      </c>
      <c r="E40" s="33">
        <f>IF(AND(B40='Your paths'!C61,'Your paths'!C36&lt;&gt;"Rent"),'Your paths'!C63,H39)</f>
        <v>0</v>
      </c>
      <c r="F40" s="33">
        <f>IF(C40=1,MIN('Your paths'!C64,E40*(1+'Your paths'!C62)),0)</f>
        <v>0</v>
      </c>
      <c r="G40" s="33">
        <f>E40*'Your paths'!C62</f>
        <v>0</v>
      </c>
      <c r="H40" s="33">
        <f>MAX(0,E40+G40-F40)</f>
        <v>0</v>
      </c>
      <c r="I40" s="33">
        <f>IF(C40=0,0,IF(AND(B40='Your paths'!C61,'Your paths'!C36&lt;&gt;"Rent"),'Your paths'!C41,I39)*(1+'Your paths'!$C$31)^(1/12))</f>
        <v>0</v>
      </c>
      <c r="J40" s="33">
        <f>(D40+F40+IF(C40=1,('Your paths'!C45/12+'Your paths'!C46+'Your paths'!C47)*(1+'Your paths'!$C$21)^INT((B40-1)/12),0))*'Your paths'!$C$32</f>
        <v>2496.96</v>
      </c>
      <c r="K40" s="33">
        <f>('Your paths'!$C$9+'Your paths'!C49)*(1+'Your paths'!$C$24)^INT((B40-1)/12)</f>
        <v>7282.8</v>
      </c>
      <c r="L40" s="33">
        <f>('Your paths'!$C$10+'Your paths'!C48)*(1+'Your paths'!$C$21)^INT((B40-1)/12)</f>
        <v>2080.8</v>
      </c>
      <c r="M40" s="33">
        <f>IF('Your paths'!C39="",'Your paths'!$C$12,'Your paths'!C39)+IF(AND('Your paths'!C55="Yes",C40=1,B40&gt;='Your paths'!C57),'Your paths'!C56,0)</f>
        <v>1000</v>
      </c>
      <c r="N40" s="33">
        <f>N39+MAX(0,N39)*((1+'Your paths'!$C$29)^(1/12)-1)+Q40-P40+R40</f>
        <v>108608.482028683</v>
      </c>
      <c r="O40" s="33">
        <f>(O39-R40)*(1+'Your paths'!$C$30)^(1/12)+M40</f>
        <v>123899.544360597</v>
      </c>
      <c r="P40" s="33">
        <f>IF(AND(B40='Your paths'!C61,'Your paths'!C36&lt;&gt;"Rent"),'Your paths'!C42+'Your paths'!C65+IF('Your paths'!C36="Rent then buy",'Your paths'!C38,0),0)</f>
        <v>0</v>
      </c>
      <c r="Q40" s="33">
        <f>K40-SUM(J40,L40,M40)</f>
        <v>1705.04</v>
      </c>
      <c r="R40" s="33">
        <f>IF(P40&gt;0,MIN(MAX(0,P40-N39),MAX(0,O39)),0)</f>
        <v>0</v>
      </c>
      <c r="S40" s="2">
        <f>IF(P40&gt;0,MAX(0,P40-N39-O39),0)</f>
        <v>0</v>
      </c>
    </row>
    <row r="41" ht="27" customHeight="1">
      <c r="A41" s="3" t="n"/>
      <c r="B41" s="3" t="n">
        <v>34</v>
      </c>
      <c r="C41" s="3">
        <f>IF(B41&gt;='Your paths'!C61,1,0)</f>
        <v>0</v>
      </c>
      <c r="D41" s="33">
        <f>IF(C41=1,0,'Your paths'!C37*(1+'Your paths'!$C$20)^INT((B41-1)/12))</f>
        <v>2496.96</v>
      </c>
      <c r="E41" s="33">
        <f>IF(AND(B41='Your paths'!C61,'Your paths'!C36&lt;&gt;"Rent"),'Your paths'!C63,H40)</f>
        <v>0</v>
      </c>
      <c r="F41" s="33">
        <f>IF(C41=1,MIN('Your paths'!C64,E41*(1+'Your paths'!C62)),0)</f>
        <v>0</v>
      </c>
      <c r="G41" s="33">
        <f>E41*'Your paths'!C62</f>
        <v>0</v>
      </c>
      <c r="H41" s="33">
        <f>MAX(0,E41+G41-F41)</f>
        <v>0</v>
      </c>
      <c r="I41" s="33">
        <f>IF(C41=0,0,IF(AND(B41='Your paths'!C61,'Your paths'!C36&lt;&gt;"Rent"),'Your paths'!C41,I40)*(1+'Your paths'!$C$31)^(1/12))</f>
        <v>0</v>
      </c>
      <c r="J41" s="33">
        <f>(D41+F41+IF(C41=1,('Your paths'!C45/12+'Your paths'!C46+'Your paths'!C47)*(1+'Your paths'!$C$21)^INT((B41-1)/12),0))*'Your paths'!$C$32</f>
        <v>2496.96</v>
      </c>
      <c r="K41" s="33">
        <f>('Your paths'!$C$9+'Your paths'!C49)*(1+'Your paths'!$C$24)^INT((B41-1)/12)</f>
        <v>7282.8</v>
      </c>
      <c r="L41" s="33">
        <f>('Your paths'!$C$10+'Your paths'!C48)*(1+'Your paths'!$C$21)^INT((B41-1)/12)</f>
        <v>2080.8</v>
      </c>
      <c r="M41" s="33">
        <f>IF('Your paths'!C39="",'Your paths'!$C$12,'Your paths'!C39)+IF(AND('Your paths'!C55="Yes",C41=1,B41&gt;='Your paths'!C57),'Your paths'!C56,0)</f>
        <v>1000</v>
      </c>
      <c r="N41" s="33">
        <f>N40+MAX(0,N40)*((1+'Your paths'!$C$29)^(1/12)-1)+Q41-P41+R41</f>
        <v>110492.897766831</v>
      </c>
      <c r="O41" s="33">
        <f>(O40-R41)*(1+'Your paths'!$C$30)^(1/12)+M41</f>
        <v>125305.159227967</v>
      </c>
      <c r="P41" s="33">
        <f>IF(AND(B41='Your paths'!C61,'Your paths'!C36&lt;&gt;"Rent"),'Your paths'!C42+'Your paths'!C65+IF('Your paths'!C36="Rent then buy",'Your paths'!C38,0),0)</f>
        <v>0</v>
      </c>
      <c r="Q41" s="33">
        <f>K41-SUM(J41,L41,M41)</f>
        <v>1705.04</v>
      </c>
      <c r="R41" s="33">
        <f>IF(P41&gt;0,MIN(MAX(0,P41-N40),MAX(0,O40)),0)</f>
        <v>0</v>
      </c>
      <c r="S41" s="2">
        <f>IF(P41&gt;0,MAX(0,P41-N40-O40),0)</f>
        <v>0</v>
      </c>
    </row>
    <row r="42" ht="27" customHeight="1">
      <c r="A42" s="3" t="n"/>
      <c r="B42" s="3" t="n">
        <v>35</v>
      </c>
      <c r="C42" s="3">
        <f>IF(B42&gt;='Your paths'!C61,1,0)</f>
        <v>0</v>
      </c>
      <c r="D42" s="33">
        <f>IF(C42=1,0,'Your paths'!C37*(1+'Your paths'!$C$20)^INT((B42-1)/12))</f>
        <v>2496.96</v>
      </c>
      <c r="E42" s="33">
        <f>IF(AND(B42='Your paths'!C61,'Your paths'!C36&lt;&gt;"Rent"),'Your paths'!C63,H41)</f>
        <v>0</v>
      </c>
      <c r="F42" s="33">
        <f>IF(C42=1,MIN('Your paths'!C64,E42*(1+'Your paths'!C62)),0)</f>
        <v>0</v>
      </c>
      <c r="G42" s="33">
        <f>E42*'Your paths'!C62</f>
        <v>0</v>
      </c>
      <c r="H42" s="33">
        <f>MAX(0,E42+G42-F42)</f>
        <v>0</v>
      </c>
      <c r="I42" s="33">
        <f>IF(C42=0,0,IF(AND(B42='Your paths'!C61,'Your paths'!C36&lt;&gt;"Rent"),'Your paths'!C41,I41)*(1+'Your paths'!$C$31)^(1/12))</f>
        <v>0</v>
      </c>
      <c r="J42" s="33">
        <f>(D42+F42+IF(C42=1,('Your paths'!C45/12+'Your paths'!C46+'Your paths'!C47)*(1+'Your paths'!$C$21)^INT((B42-1)/12),0))*'Your paths'!$C$32</f>
        <v>2496.96</v>
      </c>
      <c r="K42" s="33">
        <f>('Your paths'!$C$9+'Your paths'!C49)*(1+'Your paths'!$C$24)^INT((B42-1)/12)</f>
        <v>7282.8</v>
      </c>
      <c r="L42" s="33">
        <f>('Your paths'!$C$10+'Your paths'!C48)*(1+'Your paths'!$C$21)^INT((B42-1)/12)</f>
        <v>2080.8</v>
      </c>
      <c r="M42" s="33">
        <f>IF('Your paths'!C39="",'Your paths'!$C$12,'Your paths'!C39)+IF(AND('Your paths'!C55="Yes",C42=1,B42&gt;='Your paths'!C57),'Your paths'!C56,0)</f>
        <v>1000</v>
      </c>
      <c r="N42" s="33">
        <f>N41+MAX(0,N41)*((1+'Your paths'!$C$29)^(1/12)-1)+Q42-P42+R42</f>
        <v>112380.425770778</v>
      </c>
      <c r="O42" s="33">
        <f>(O41-R42)*(1+'Your paths'!$C$30)^(1/12)+M42</f>
        <v>126715.375712646</v>
      </c>
      <c r="P42" s="33">
        <f>IF(AND(B42='Your paths'!C61,'Your paths'!C36&lt;&gt;"Rent"),'Your paths'!C42+'Your paths'!C65+IF('Your paths'!C36="Rent then buy",'Your paths'!C38,0),0)</f>
        <v>0</v>
      </c>
      <c r="Q42" s="33">
        <f>K42-SUM(J42,L42,M42)</f>
        <v>1705.04</v>
      </c>
      <c r="R42" s="33">
        <f>IF(P42&gt;0,MIN(MAX(0,P42-N41),MAX(0,O41)),0)</f>
        <v>0</v>
      </c>
      <c r="S42" s="2">
        <f>IF(P42&gt;0,MAX(0,P42-N41-O41),0)</f>
        <v>0</v>
      </c>
    </row>
    <row r="43" ht="27" customHeight="1">
      <c r="A43" s="3" t="n"/>
      <c r="B43" s="3" t="n">
        <v>36</v>
      </c>
      <c r="C43" s="3">
        <f>IF(B43&gt;='Your paths'!C61,1,0)</f>
        <v>0</v>
      </c>
      <c r="D43" s="33">
        <f>IF(C43=1,0,'Your paths'!C37*(1+'Your paths'!$C$20)^INT((B43-1)/12))</f>
        <v>2496.96</v>
      </c>
      <c r="E43" s="33">
        <f>IF(AND(B43='Your paths'!C61,'Your paths'!C36&lt;&gt;"Rent"),'Your paths'!C63,H42)</f>
        <v>0</v>
      </c>
      <c r="F43" s="33">
        <f>IF(C43=1,MIN('Your paths'!C64,E43*(1+'Your paths'!C62)),0)</f>
        <v>0</v>
      </c>
      <c r="G43" s="33">
        <f>E43*'Your paths'!C62</f>
        <v>0</v>
      </c>
      <c r="H43" s="33">
        <f>MAX(0,E43+G43-F43)</f>
        <v>0</v>
      </c>
      <c r="I43" s="33">
        <f>IF(C43=0,0,IF(AND(B43='Your paths'!C61,'Your paths'!C36&lt;&gt;"Rent"),'Your paths'!C41,I42)*(1+'Your paths'!$C$31)^(1/12))</f>
        <v>0</v>
      </c>
      <c r="J43" s="33">
        <f>(D43+F43+IF(C43=1,('Your paths'!C45/12+'Your paths'!C46+'Your paths'!C47)*(1+'Your paths'!$C$21)^INT((B43-1)/12),0))*'Your paths'!$C$32</f>
        <v>2496.96</v>
      </c>
      <c r="K43" s="33">
        <f>('Your paths'!$C$9+'Your paths'!C49)*(1+'Your paths'!$C$24)^INT((B43-1)/12)</f>
        <v>7282.8</v>
      </c>
      <c r="L43" s="33">
        <f>('Your paths'!$C$10+'Your paths'!C48)*(1+'Your paths'!$C$21)^INT((B43-1)/12)</f>
        <v>2080.8</v>
      </c>
      <c r="M43" s="33">
        <f>IF('Your paths'!C39="",'Your paths'!$C$12,'Your paths'!C39)+IF(AND('Your paths'!C55="Yes",C43=1,B43&gt;='Your paths'!C57),'Your paths'!C56,0)</f>
        <v>1000</v>
      </c>
      <c r="N43" s="33">
        <f>N42+MAX(0,N42)*((1+'Your paths'!$C$29)^(1/12)-1)+Q43-P43+R43</f>
        <v>114271.071180683</v>
      </c>
      <c r="O43" s="33">
        <f>(O42-R43)*(1+'Your paths'!$C$30)^(1/12)+M43</f>
        <v>128130.208879133</v>
      </c>
      <c r="P43" s="33">
        <f>IF(AND(B43='Your paths'!C61,'Your paths'!C36&lt;&gt;"Rent"),'Your paths'!C42+'Your paths'!C65+IF('Your paths'!C36="Rent then buy",'Your paths'!C38,0),0)</f>
        <v>0</v>
      </c>
      <c r="Q43" s="33">
        <f>K43-SUM(J43,L43,M43)</f>
        <v>1705.04</v>
      </c>
      <c r="R43" s="33">
        <f>IF(P43&gt;0,MIN(MAX(0,P43-N42),MAX(0,O42)),0)</f>
        <v>0</v>
      </c>
      <c r="S43" s="2">
        <f>IF(P43&gt;0,MAX(0,P43-N42-O42),0)</f>
        <v>0</v>
      </c>
    </row>
    <row r="44" ht="27" customHeight="1">
      <c r="A44" s="3" t="n"/>
      <c r="B44" s="3" t="n">
        <v>37</v>
      </c>
      <c r="C44" s="3">
        <f>IF(B44&gt;='Your paths'!C61,1,0)</f>
        <v>0</v>
      </c>
      <c r="D44" s="33">
        <f>IF(C44=1,0,'Your paths'!C37*(1+'Your paths'!$C$20)^INT((B44-1)/12))</f>
        <v>2546.8992</v>
      </c>
      <c r="E44" s="33">
        <f>IF(AND(B44='Your paths'!C61,'Your paths'!C36&lt;&gt;"Rent"),'Your paths'!C63,H43)</f>
        <v>0</v>
      </c>
      <c r="F44" s="33">
        <f>IF(C44=1,MIN('Your paths'!C64,E44*(1+'Your paths'!C62)),0)</f>
        <v>0</v>
      </c>
      <c r="G44" s="33">
        <f>E44*'Your paths'!C62</f>
        <v>0</v>
      </c>
      <c r="H44" s="33">
        <f>MAX(0,E44+G44-F44)</f>
        <v>0</v>
      </c>
      <c r="I44" s="33">
        <f>IF(C44=0,0,IF(AND(B44='Your paths'!C61,'Your paths'!C36&lt;&gt;"Rent"),'Your paths'!C41,I43)*(1+'Your paths'!$C$31)^(1/12))</f>
        <v>0</v>
      </c>
      <c r="J44" s="33">
        <f>(D44+F44+IF(C44=1,('Your paths'!C45/12+'Your paths'!C46+'Your paths'!C47)*(1+'Your paths'!$C$21)^INT((B44-1)/12),0))*'Your paths'!$C$32</f>
        <v>2546.8992</v>
      </c>
      <c r="K44" s="33">
        <f>('Your paths'!$C$9+'Your paths'!C49)*(1+'Your paths'!$C$24)^INT((B44-1)/12)</f>
        <v>7428.456</v>
      </c>
      <c r="L44" s="33">
        <f>('Your paths'!$C$10+'Your paths'!C48)*(1+'Your paths'!$C$21)^INT((B44-1)/12)</f>
        <v>2122.416</v>
      </c>
      <c r="M44" s="33">
        <f>IF('Your paths'!C39="",'Your paths'!$C$12,'Your paths'!C39)+IF(AND('Your paths'!C55="Yes",C44=1,B44&gt;='Your paths'!C57),'Your paths'!C56,0)</f>
        <v>1000</v>
      </c>
      <c r="N44" s="33">
        <f>N43+MAX(0,N43)*((1+'Your paths'!$C$29)^(1/12)-1)+Q44-P44+R44</f>
        <v>116218.939945195</v>
      </c>
      <c r="O44" s="33">
        <f>(O43-R44)*(1+'Your paths'!$C$30)^(1/12)+M44</f>
        <v>129549.673841242</v>
      </c>
      <c r="P44" s="33">
        <f>IF(AND(B44='Your paths'!C61,'Your paths'!C36&lt;&gt;"Rent"),'Your paths'!C42+'Your paths'!C65+IF('Your paths'!C36="Rent then buy",'Your paths'!C38,0),0)</f>
        <v>0</v>
      </c>
      <c r="Q44" s="33">
        <f>K44-SUM(J44,L44,M44)</f>
        <v>1759.1408</v>
      </c>
      <c r="R44" s="33">
        <f>IF(P44&gt;0,MIN(MAX(0,P44-N43),MAX(0,O43)),0)</f>
        <v>0</v>
      </c>
      <c r="S44" s="2">
        <f>IF(P44&gt;0,MAX(0,P44-N43-O43),0)</f>
        <v>0</v>
      </c>
    </row>
    <row r="45" ht="27" customHeight="1">
      <c r="A45" s="3" t="n"/>
      <c r="B45" s="3" t="n">
        <v>38</v>
      </c>
      <c r="C45" s="3">
        <f>IF(B45&gt;='Your paths'!C61,1,0)</f>
        <v>0</v>
      </c>
      <c r="D45" s="33">
        <f>IF(C45=1,0,'Your paths'!C37*(1+'Your paths'!$C$20)^INT((B45-1)/12))</f>
        <v>2546.8992</v>
      </c>
      <c r="E45" s="33">
        <f>IF(AND(B45='Your paths'!C61,'Your paths'!C36&lt;&gt;"Rent"),'Your paths'!C63,H44)</f>
        <v>0</v>
      </c>
      <c r="F45" s="33">
        <f>IF(C45=1,MIN('Your paths'!C64,E45*(1+'Your paths'!C62)),0)</f>
        <v>0</v>
      </c>
      <c r="G45" s="33">
        <f>E45*'Your paths'!C62</f>
        <v>0</v>
      </c>
      <c r="H45" s="33">
        <f>MAX(0,E45+G45-F45)</f>
        <v>0</v>
      </c>
      <c r="I45" s="33">
        <f>IF(C45=0,0,IF(AND(B45='Your paths'!C61,'Your paths'!C36&lt;&gt;"Rent"),'Your paths'!C41,I44)*(1+'Your paths'!$C$31)^(1/12))</f>
        <v>0</v>
      </c>
      <c r="J45" s="33">
        <f>(D45+F45+IF(C45=1,('Your paths'!C45/12+'Your paths'!C46+'Your paths'!C47)*(1+'Your paths'!$C$21)^INT((B45-1)/12),0))*'Your paths'!$C$32</f>
        <v>2546.8992</v>
      </c>
      <c r="K45" s="33">
        <f>('Your paths'!$C$9+'Your paths'!C49)*(1+'Your paths'!$C$24)^INT((B45-1)/12)</f>
        <v>7428.456</v>
      </c>
      <c r="L45" s="33">
        <f>('Your paths'!$C$10+'Your paths'!C48)*(1+'Your paths'!$C$21)^INT((B45-1)/12)</f>
        <v>2122.416</v>
      </c>
      <c r="M45" s="33">
        <f>IF('Your paths'!C39="",'Your paths'!$C$12,'Your paths'!C39)+IF(AND('Your paths'!C55="Yes",C45=1,B45&gt;='Your paths'!C57),'Your paths'!C56,0)</f>
        <v>1000</v>
      </c>
      <c r="N45" s="33">
        <f>N44+MAX(0,N44)*((1+'Your paths'!$C$29)^(1/12)-1)+Q45-P45+R45</f>
        <v>118170.025773338</v>
      </c>
      <c r="O45" s="33">
        <f>(O44-R45)*(1+'Your paths'!$C$30)^(1/12)+M45</f>
        <v>130973.785762267</v>
      </c>
      <c r="P45" s="33">
        <f>IF(AND(B45='Your paths'!C61,'Your paths'!C36&lt;&gt;"Rent"),'Your paths'!C42+'Your paths'!C65+IF('Your paths'!C36="Rent then buy",'Your paths'!C38,0),0)</f>
        <v>0</v>
      </c>
      <c r="Q45" s="33">
        <f>K45-SUM(J45,L45,M45)</f>
        <v>1759.1408</v>
      </c>
      <c r="R45" s="33">
        <f>IF(P45&gt;0,MIN(MAX(0,P45-N44),MAX(0,O44)),0)</f>
        <v>0</v>
      </c>
      <c r="S45" s="2">
        <f>IF(P45&gt;0,MAX(0,P45-N44-O44),0)</f>
        <v>0</v>
      </c>
    </row>
    <row r="46" ht="27" customHeight="1">
      <c r="A46" s="3" t="n"/>
      <c r="B46" s="3" t="n">
        <v>39</v>
      </c>
      <c r="C46" s="3">
        <f>IF(B46&gt;='Your paths'!C61,1,0)</f>
        <v>0</v>
      </c>
      <c r="D46" s="33">
        <f>IF(C46=1,0,'Your paths'!C37*(1+'Your paths'!$C$20)^INT((B46-1)/12))</f>
        <v>2546.8992</v>
      </c>
      <c r="E46" s="33">
        <f>IF(AND(B46='Your paths'!C61,'Your paths'!C36&lt;&gt;"Rent"),'Your paths'!C63,H45)</f>
        <v>0</v>
      </c>
      <c r="F46" s="33">
        <f>IF(C46=1,MIN('Your paths'!C64,E46*(1+'Your paths'!C62)),0)</f>
        <v>0</v>
      </c>
      <c r="G46" s="33">
        <f>E46*'Your paths'!C62</f>
        <v>0</v>
      </c>
      <c r="H46" s="33">
        <f>MAX(0,E46+G46-F46)</f>
        <v>0</v>
      </c>
      <c r="I46" s="33">
        <f>IF(C46=0,0,IF(AND(B46='Your paths'!C61,'Your paths'!C36&lt;&gt;"Rent"),'Your paths'!C41,I45)*(1+'Your paths'!$C$31)^(1/12))</f>
        <v>0</v>
      </c>
      <c r="J46" s="33">
        <f>(D46+F46+IF(C46=1,('Your paths'!C45/12+'Your paths'!C46+'Your paths'!C47)*(1+'Your paths'!$C$21)^INT((B46-1)/12),0))*'Your paths'!$C$32</f>
        <v>2546.8992</v>
      </c>
      <c r="K46" s="33">
        <f>('Your paths'!$C$9+'Your paths'!C49)*(1+'Your paths'!$C$24)^INT((B46-1)/12)</f>
        <v>7428.456</v>
      </c>
      <c r="L46" s="33">
        <f>('Your paths'!$C$10+'Your paths'!C48)*(1+'Your paths'!$C$21)^INT((B46-1)/12)</f>
        <v>2122.416</v>
      </c>
      <c r="M46" s="33">
        <f>IF('Your paths'!C39="",'Your paths'!$C$12,'Your paths'!C39)+IF(AND('Your paths'!C55="Yes",C46=1,B46&gt;='Your paths'!C57),'Your paths'!C56,0)</f>
        <v>1000</v>
      </c>
      <c r="N46" s="33">
        <f>N45+MAX(0,N45)*((1+'Your paths'!$C$29)^(1/12)-1)+Q46-P46+R46</f>
        <v>120124.333978353</v>
      </c>
      <c r="O46" s="33">
        <f>(O45-R46)*(1+'Your paths'!$C$30)^(1/12)+M46</f>
        <v>132402.559855142</v>
      </c>
      <c r="P46" s="33">
        <f>IF(AND(B46='Your paths'!C61,'Your paths'!C36&lt;&gt;"Rent"),'Your paths'!C42+'Your paths'!C65+IF('Your paths'!C36="Rent then buy",'Your paths'!C38,0),0)</f>
        <v>0</v>
      </c>
      <c r="Q46" s="33">
        <f>K46-SUM(J46,L46,M46)</f>
        <v>1759.1408</v>
      </c>
      <c r="R46" s="33">
        <f>IF(P46&gt;0,MIN(MAX(0,P46-N45),MAX(0,O45)),0)</f>
        <v>0</v>
      </c>
      <c r="S46" s="2">
        <f>IF(P46&gt;0,MAX(0,P46-N45-O45),0)</f>
        <v>0</v>
      </c>
    </row>
    <row r="47" ht="27" customHeight="1">
      <c r="A47" s="3" t="n"/>
      <c r="B47" s="3" t="n">
        <v>40</v>
      </c>
      <c r="C47" s="3">
        <f>IF(B47&gt;='Your paths'!C61,1,0)</f>
        <v>0</v>
      </c>
      <c r="D47" s="33">
        <f>IF(C47=1,0,'Your paths'!C37*(1+'Your paths'!$C$20)^INT((B47-1)/12))</f>
        <v>2546.8992</v>
      </c>
      <c r="E47" s="33">
        <f>IF(AND(B47='Your paths'!C61,'Your paths'!C36&lt;&gt;"Rent"),'Your paths'!C63,H46)</f>
        <v>0</v>
      </c>
      <c r="F47" s="33">
        <f>IF(C47=1,MIN('Your paths'!C64,E47*(1+'Your paths'!C62)),0)</f>
        <v>0</v>
      </c>
      <c r="G47" s="33">
        <f>E47*'Your paths'!C62</f>
        <v>0</v>
      </c>
      <c r="H47" s="33">
        <f>MAX(0,E47+G47-F47)</f>
        <v>0</v>
      </c>
      <c r="I47" s="33">
        <f>IF(C47=0,0,IF(AND(B47='Your paths'!C61,'Your paths'!C36&lt;&gt;"Rent"),'Your paths'!C41,I46)*(1+'Your paths'!$C$31)^(1/12))</f>
        <v>0</v>
      </c>
      <c r="J47" s="33">
        <f>(D47+F47+IF(C47=1,('Your paths'!C45/12+'Your paths'!C46+'Your paths'!C47)*(1+'Your paths'!$C$21)^INT((B47-1)/12),0))*'Your paths'!$C$32</f>
        <v>2546.8992</v>
      </c>
      <c r="K47" s="33">
        <f>('Your paths'!$C$9+'Your paths'!C49)*(1+'Your paths'!$C$24)^INT((B47-1)/12)</f>
        <v>7428.456</v>
      </c>
      <c r="L47" s="33">
        <f>('Your paths'!$C$10+'Your paths'!C48)*(1+'Your paths'!$C$21)^INT((B47-1)/12)</f>
        <v>2122.416</v>
      </c>
      <c r="M47" s="33">
        <f>IF('Your paths'!C39="",'Your paths'!$C$12,'Your paths'!C39)+IF(AND('Your paths'!C55="Yes",C47=1,B47&gt;='Your paths'!C57),'Your paths'!C56,0)</f>
        <v>1000</v>
      </c>
      <c r="N47" s="33">
        <f>N46+MAX(0,N46)*((1+'Your paths'!$C$29)^(1/12)-1)+Q47-P47+R47</f>
        <v>122081.869882257</v>
      </c>
      <c r="O47" s="33">
        <f>(O46-R47)*(1+'Your paths'!$C$30)^(1/12)+M47</f>
        <v>133836.011382605</v>
      </c>
      <c r="P47" s="33">
        <f>IF(AND(B47='Your paths'!C61,'Your paths'!C36&lt;&gt;"Rent"),'Your paths'!C42+'Your paths'!C65+IF('Your paths'!C36="Rent then buy",'Your paths'!C38,0),0)</f>
        <v>0</v>
      </c>
      <c r="Q47" s="33">
        <f>K47-SUM(J47,L47,M47)</f>
        <v>1759.1408</v>
      </c>
      <c r="R47" s="33">
        <f>IF(P47&gt;0,MIN(MAX(0,P47-N46),MAX(0,O46)),0)</f>
        <v>0</v>
      </c>
      <c r="S47" s="2">
        <f>IF(P47&gt;0,MAX(0,P47-N46-O46),0)</f>
        <v>0</v>
      </c>
    </row>
    <row r="48" ht="27" customHeight="1">
      <c r="A48" s="3" t="n"/>
      <c r="B48" s="3" t="n">
        <v>41</v>
      </c>
      <c r="C48" s="3">
        <f>IF(B48&gt;='Your paths'!C61,1,0)</f>
        <v>0</v>
      </c>
      <c r="D48" s="33">
        <f>IF(C48=1,0,'Your paths'!C37*(1+'Your paths'!$C$20)^INT((B48-1)/12))</f>
        <v>2546.8992</v>
      </c>
      <c r="E48" s="33">
        <f>IF(AND(B48='Your paths'!C61,'Your paths'!C36&lt;&gt;"Rent"),'Your paths'!C63,H47)</f>
        <v>0</v>
      </c>
      <c r="F48" s="33">
        <f>IF(C48=1,MIN('Your paths'!C64,E48*(1+'Your paths'!C62)),0)</f>
        <v>0</v>
      </c>
      <c r="G48" s="33">
        <f>E48*'Your paths'!C62</f>
        <v>0</v>
      </c>
      <c r="H48" s="33">
        <f>MAX(0,E48+G48-F48)</f>
        <v>0</v>
      </c>
      <c r="I48" s="33">
        <f>IF(C48=0,0,IF(AND(B48='Your paths'!C61,'Your paths'!C36&lt;&gt;"Rent"),'Your paths'!C41,I47)*(1+'Your paths'!$C$31)^(1/12))</f>
        <v>0</v>
      </c>
      <c r="J48" s="33">
        <f>(D48+F48+IF(C48=1,('Your paths'!C45/12+'Your paths'!C46+'Your paths'!C47)*(1+'Your paths'!$C$21)^INT((B48-1)/12),0))*'Your paths'!$C$32</f>
        <v>2546.8992</v>
      </c>
      <c r="K48" s="33">
        <f>('Your paths'!$C$9+'Your paths'!C49)*(1+'Your paths'!$C$24)^INT((B48-1)/12)</f>
        <v>7428.456</v>
      </c>
      <c r="L48" s="33">
        <f>('Your paths'!$C$10+'Your paths'!C48)*(1+'Your paths'!$C$21)^INT((B48-1)/12)</f>
        <v>2122.416</v>
      </c>
      <c r="M48" s="33">
        <f>IF('Your paths'!C39="",'Your paths'!$C$12,'Your paths'!C39)+IF(AND('Your paths'!C55="Yes",C48=1,B48&gt;='Your paths'!C57),'Your paths'!C56,0)</f>
        <v>1000</v>
      </c>
      <c r="N48" s="33">
        <f>N47+MAX(0,N47)*((1+'Your paths'!$C$29)^(1/12)-1)+Q48-P48+R48</f>
        <v>124042.638815858</v>
      </c>
      <c r="O48" s="33">
        <f>(O47-R48)*(1+'Your paths'!$C$30)^(1/12)+M48</f>
        <v>135274.155657359</v>
      </c>
      <c r="P48" s="33">
        <f>IF(AND(B48='Your paths'!C61,'Your paths'!C36&lt;&gt;"Rent"),'Your paths'!C42+'Your paths'!C65+IF('Your paths'!C36="Rent then buy",'Your paths'!C38,0),0)</f>
        <v>0</v>
      </c>
      <c r="Q48" s="33">
        <f>K48-SUM(J48,L48,M48)</f>
        <v>1759.1408</v>
      </c>
      <c r="R48" s="33">
        <f>IF(P48&gt;0,MIN(MAX(0,P48-N47),MAX(0,O47)),0)</f>
        <v>0</v>
      </c>
      <c r="S48" s="2">
        <f>IF(P48&gt;0,MAX(0,P48-N47-O47),0)</f>
        <v>0</v>
      </c>
    </row>
    <row r="49" ht="27" customHeight="1">
      <c r="A49" s="3" t="n"/>
      <c r="B49" s="3" t="n">
        <v>42</v>
      </c>
      <c r="C49" s="3">
        <f>IF(B49&gt;='Your paths'!C61,1,0)</f>
        <v>0</v>
      </c>
      <c r="D49" s="33">
        <f>IF(C49=1,0,'Your paths'!C37*(1+'Your paths'!$C$20)^INT((B49-1)/12))</f>
        <v>2546.8992</v>
      </c>
      <c r="E49" s="33">
        <f>IF(AND(B49='Your paths'!C61,'Your paths'!C36&lt;&gt;"Rent"),'Your paths'!C63,H48)</f>
        <v>0</v>
      </c>
      <c r="F49" s="33">
        <f>IF(C49=1,MIN('Your paths'!C64,E49*(1+'Your paths'!C62)),0)</f>
        <v>0</v>
      </c>
      <c r="G49" s="33">
        <f>E49*'Your paths'!C62</f>
        <v>0</v>
      </c>
      <c r="H49" s="33">
        <f>MAX(0,E49+G49-F49)</f>
        <v>0</v>
      </c>
      <c r="I49" s="33">
        <f>IF(C49=0,0,IF(AND(B49='Your paths'!C61,'Your paths'!C36&lt;&gt;"Rent"),'Your paths'!C41,I48)*(1+'Your paths'!$C$31)^(1/12))</f>
        <v>0</v>
      </c>
      <c r="J49" s="33">
        <f>(D49+F49+IF(C49=1,('Your paths'!C45/12+'Your paths'!C46+'Your paths'!C47)*(1+'Your paths'!$C$21)^INT((B49-1)/12),0))*'Your paths'!$C$32</f>
        <v>2546.8992</v>
      </c>
      <c r="K49" s="33">
        <f>('Your paths'!$C$9+'Your paths'!C49)*(1+'Your paths'!$C$24)^INT((B49-1)/12)</f>
        <v>7428.456</v>
      </c>
      <c r="L49" s="33">
        <f>('Your paths'!$C$10+'Your paths'!C48)*(1+'Your paths'!$C$21)^INT((B49-1)/12)</f>
        <v>2122.416</v>
      </c>
      <c r="M49" s="33">
        <f>IF('Your paths'!C39="",'Your paths'!$C$12,'Your paths'!C39)+IF(AND('Your paths'!C55="Yes",C49=1,B49&gt;='Your paths'!C57),'Your paths'!C56,0)</f>
        <v>1000</v>
      </c>
      <c r="N49" s="33">
        <f>N48+MAX(0,N48)*((1+'Your paths'!$C$29)^(1/12)-1)+Q49-P49+R49</f>
        <v>126006.646118767</v>
      </c>
      <c r="O49" s="33">
        <f>(O48-R49)*(1+'Your paths'!$C$30)^(1/12)+M49</f>
        <v>136717.008042238</v>
      </c>
      <c r="P49" s="33">
        <f>IF(AND(B49='Your paths'!C61,'Your paths'!C36&lt;&gt;"Rent"),'Your paths'!C42+'Your paths'!C65+IF('Your paths'!C36="Rent then buy",'Your paths'!C38,0),0)</f>
        <v>0</v>
      </c>
      <c r="Q49" s="33">
        <f>K49-SUM(J49,L49,M49)</f>
        <v>1759.1408</v>
      </c>
      <c r="R49" s="33">
        <f>IF(P49&gt;0,MIN(MAX(0,P49-N48),MAX(0,O48)),0)</f>
        <v>0</v>
      </c>
      <c r="S49" s="2">
        <f>IF(P49&gt;0,MAX(0,P49-N48-O48),0)</f>
        <v>0</v>
      </c>
    </row>
    <row r="50" ht="27" customHeight="1">
      <c r="A50" s="3" t="n"/>
      <c r="B50" s="3" t="n">
        <v>43</v>
      </c>
      <c r="C50" s="3">
        <f>IF(B50&gt;='Your paths'!C61,1,0)</f>
        <v>0</v>
      </c>
      <c r="D50" s="33">
        <f>IF(C50=1,0,'Your paths'!C37*(1+'Your paths'!$C$20)^INT((B50-1)/12))</f>
        <v>2546.8992</v>
      </c>
      <c r="E50" s="33">
        <f>IF(AND(B50='Your paths'!C61,'Your paths'!C36&lt;&gt;"Rent"),'Your paths'!C63,H49)</f>
        <v>0</v>
      </c>
      <c r="F50" s="33">
        <f>IF(C50=1,MIN('Your paths'!C64,E50*(1+'Your paths'!C62)),0)</f>
        <v>0</v>
      </c>
      <c r="G50" s="33">
        <f>E50*'Your paths'!C62</f>
        <v>0</v>
      </c>
      <c r="H50" s="33">
        <f>MAX(0,E50+G50-F50)</f>
        <v>0</v>
      </c>
      <c r="I50" s="33">
        <f>IF(C50=0,0,IF(AND(B50='Your paths'!C61,'Your paths'!C36&lt;&gt;"Rent"),'Your paths'!C41,I49)*(1+'Your paths'!$C$31)^(1/12))</f>
        <v>0</v>
      </c>
      <c r="J50" s="33">
        <f>(D50+F50+IF(C50=1,('Your paths'!C45/12+'Your paths'!C46+'Your paths'!C47)*(1+'Your paths'!$C$21)^INT((B50-1)/12),0))*'Your paths'!$C$32</f>
        <v>2546.8992</v>
      </c>
      <c r="K50" s="33">
        <f>('Your paths'!$C$9+'Your paths'!C49)*(1+'Your paths'!$C$24)^INT((B50-1)/12)</f>
        <v>7428.456</v>
      </c>
      <c r="L50" s="33">
        <f>('Your paths'!$C$10+'Your paths'!C48)*(1+'Your paths'!$C$21)^INT((B50-1)/12)</f>
        <v>2122.416</v>
      </c>
      <c r="M50" s="33">
        <f>IF('Your paths'!C39="",'Your paths'!$C$12,'Your paths'!C39)+IF(AND('Your paths'!C55="Yes",C50=1,B50&gt;='Your paths'!C57),'Your paths'!C56,0)</f>
        <v>1000</v>
      </c>
      <c r="N50" s="33">
        <f>N49+MAX(0,N49)*((1+'Your paths'!$C$29)^(1/12)-1)+Q50-P50+R50</f>
        <v>127973.897139414</v>
      </c>
      <c r="O50" s="33">
        <f>(O49-R50)*(1+'Your paths'!$C$30)^(1/12)+M50</f>
        <v>138164.583950369</v>
      </c>
      <c r="P50" s="33">
        <f>IF(AND(B50='Your paths'!C61,'Your paths'!C36&lt;&gt;"Rent"),'Your paths'!C42+'Your paths'!C65+IF('Your paths'!C36="Rent then buy",'Your paths'!C38,0),0)</f>
        <v>0</v>
      </c>
      <c r="Q50" s="33">
        <f>K50-SUM(J50,L50,M50)</f>
        <v>1759.1408</v>
      </c>
      <c r="R50" s="33">
        <f>IF(P50&gt;0,MIN(MAX(0,P50-N49),MAX(0,O49)),0)</f>
        <v>0</v>
      </c>
      <c r="S50" s="2">
        <f>IF(P50&gt;0,MAX(0,P50-N49-O49),0)</f>
        <v>0</v>
      </c>
    </row>
    <row r="51" ht="27" customHeight="1">
      <c r="A51" s="3" t="n"/>
      <c r="B51" s="3" t="n">
        <v>44</v>
      </c>
      <c r="C51" s="3">
        <f>IF(B51&gt;='Your paths'!C61,1,0)</f>
        <v>0</v>
      </c>
      <c r="D51" s="33">
        <f>IF(C51=1,0,'Your paths'!C37*(1+'Your paths'!$C$20)^INT((B51-1)/12))</f>
        <v>2546.8992</v>
      </c>
      <c r="E51" s="33">
        <f>IF(AND(B51='Your paths'!C61,'Your paths'!C36&lt;&gt;"Rent"),'Your paths'!C63,H50)</f>
        <v>0</v>
      </c>
      <c r="F51" s="33">
        <f>IF(C51=1,MIN('Your paths'!C64,E51*(1+'Your paths'!C62)),0)</f>
        <v>0</v>
      </c>
      <c r="G51" s="33">
        <f>E51*'Your paths'!C62</f>
        <v>0</v>
      </c>
      <c r="H51" s="33">
        <f>MAX(0,E51+G51-F51)</f>
        <v>0</v>
      </c>
      <c r="I51" s="33">
        <f>IF(C51=0,0,IF(AND(B51='Your paths'!C61,'Your paths'!C36&lt;&gt;"Rent"),'Your paths'!C41,I50)*(1+'Your paths'!$C$31)^(1/12))</f>
        <v>0</v>
      </c>
      <c r="J51" s="33">
        <f>(D51+F51+IF(C51=1,('Your paths'!C45/12+'Your paths'!C46+'Your paths'!C47)*(1+'Your paths'!$C$21)^INT((B51-1)/12),0))*'Your paths'!$C$32</f>
        <v>2546.8992</v>
      </c>
      <c r="K51" s="33">
        <f>('Your paths'!$C$9+'Your paths'!C49)*(1+'Your paths'!$C$24)^INT((B51-1)/12)</f>
        <v>7428.456</v>
      </c>
      <c r="L51" s="33">
        <f>('Your paths'!$C$10+'Your paths'!C48)*(1+'Your paths'!$C$21)^INT((B51-1)/12)</f>
        <v>2122.416</v>
      </c>
      <c r="M51" s="33">
        <f>IF('Your paths'!C39="",'Your paths'!$C$12,'Your paths'!C39)+IF(AND('Your paths'!C55="Yes",C51=1,B51&gt;='Your paths'!C57),'Your paths'!C56,0)</f>
        <v>1000</v>
      </c>
      <c r="N51" s="33">
        <f>N50+MAX(0,N50)*((1+'Your paths'!$C$29)^(1/12)-1)+Q51-P51+R51</f>
        <v>129944.397235064</v>
      </c>
      <c r="O51" s="33">
        <f>(O50-R51)*(1+'Your paths'!$C$30)^(1/12)+M51</f>
        <v>139616.898845338</v>
      </c>
      <c r="P51" s="33">
        <f>IF(AND(B51='Your paths'!C61,'Your paths'!C36&lt;&gt;"Rent"),'Your paths'!C42+'Your paths'!C65+IF('Your paths'!C36="Rent then buy",'Your paths'!C38,0),0)</f>
        <v>0</v>
      </c>
      <c r="Q51" s="33">
        <f>K51-SUM(J51,L51,M51)</f>
        <v>1759.1408</v>
      </c>
      <c r="R51" s="33">
        <f>IF(P51&gt;0,MIN(MAX(0,P51-N50),MAX(0,O50)),0)</f>
        <v>0</v>
      </c>
      <c r="S51" s="2">
        <f>IF(P51&gt;0,MAX(0,P51-N50-O50),0)</f>
        <v>0</v>
      </c>
    </row>
    <row r="52" ht="27" customHeight="1">
      <c r="A52" s="3" t="n"/>
      <c r="B52" s="3" t="n">
        <v>45</v>
      </c>
      <c r="C52" s="3">
        <f>IF(B52&gt;='Your paths'!C61,1,0)</f>
        <v>0</v>
      </c>
      <c r="D52" s="33">
        <f>IF(C52=1,0,'Your paths'!C37*(1+'Your paths'!$C$20)^INT((B52-1)/12))</f>
        <v>2546.8992</v>
      </c>
      <c r="E52" s="33">
        <f>IF(AND(B52='Your paths'!C61,'Your paths'!C36&lt;&gt;"Rent"),'Your paths'!C63,H51)</f>
        <v>0</v>
      </c>
      <c r="F52" s="33">
        <f>IF(C52=1,MIN('Your paths'!C64,E52*(1+'Your paths'!C62)),0)</f>
        <v>0</v>
      </c>
      <c r="G52" s="33">
        <f>E52*'Your paths'!C62</f>
        <v>0</v>
      </c>
      <c r="H52" s="33">
        <f>MAX(0,E52+G52-F52)</f>
        <v>0</v>
      </c>
      <c r="I52" s="33">
        <f>IF(C52=0,0,IF(AND(B52='Your paths'!C61,'Your paths'!C36&lt;&gt;"Rent"),'Your paths'!C41,I51)*(1+'Your paths'!$C$31)^(1/12))</f>
        <v>0</v>
      </c>
      <c r="J52" s="33">
        <f>(D52+F52+IF(C52=1,('Your paths'!C45/12+'Your paths'!C46+'Your paths'!C47)*(1+'Your paths'!$C$21)^INT((B52-1)/12),0))*'Your paths'!$C$32</f>
        <v>2546.8992</v>
      </c>
      <c r="K52" s="33">
        <f>('Your paths'!$C$9+'Your paths'!C49)*(1+'Your paths'!$C$24)^INT((B52-1)/12)</f>
        <v>7428.456</v>
      </c>
      <c r="L52" s="33">
        <f>('Your paths'!$C$10+'Your paths'!C48)*(1+'Your paths'!$C$21)^INT((B52-1)/12)</f>
        <v>2122.416</v>
      </c>
      <c r="M52" s="33">
        <f>IF('Your paths'!C39="",'Your paths'!$C$12,'Your paths'!C39)+IF(AND('Your paths'!C55="Yes",C52=1,B52&gt;='Your paths'!C57),'Your paths'!C56,0)</f>
        <v>1000</v>
      </c>
      <c r="N52" s="33">
        <f>N51+MAX(0,N51)*((1+'Your paths'!$C$29)^(1/12)-1)+Q52-P52+R52</f>
        <v>131918.151771826</v>
      </c>
      <c r="O52" s="33">
        <f>(O51-R52)*(1+'Your paths'!$C$30)^(1/12)+M52</f>
        <v>141073.968241356</v>
      </c>
      <c r="P52" s="33">
        <f>IF(AND(B52='Your paths'!C61,'Your paths'!C36&lt;&gt;"Rent"),'Your paths'!C42+'Your paths'!C65+IF('Your paths'!C36="Rent then buy",'Your paths'!C38,0),0)</f>
        <v>0</v>
      </c>
      <c r="Q52" s="33">
        <f>K52-SUM(J52,L52,M52)</f>
        <v>1759.1408</v>
      </c>
      <c r="R52" s="33">
        <f>IF(P52&gt;0,MIN(MAX(0,P52-N51),MAX(0,O51)),0)</f>
        <v>0</v>
      </c>
      <c r="S52" s="2">
        <f>IF(P52&gt;0,MAX(0,P52-N51-O51),0)</f>
        <v>0</v>
      </c>
    </row>
    <row r="53" ht="27" customHeight="1">
      <c r="A53" s="3" t="n"/>
      <c r="B53" s="3" t="n">
        <v>46</v>
      </c>
      <c r="C53" s="3">
        <f>IF(B53&gt;='Your paths'!C61,1,0)</f>
        <v>0</v>
      </c>
      <c r="D53" s="33">
        <f>IF(C53=1,0,'Your paths'!C37*(1+'Your paths'!$C$20)^INT((B53-1)/12))</f>
        <v>2546.8992</v>
      </c>
      <c r="E53" s="33">
        <f>IF(AND(B53='Your paths'!C61,'Your paths'!C36&lt;&gt;"Rent"),'Your paths'!C63,H52)</f>
        <v>0</v>
      </c>
      <c r="F53" s="33">
        <f>IF(C53=1,MIN('Your paths'!C64,E53*(1+'Your paths'!C62)),0)</f>
        <v>0</v>
      </c>
      <c r="G53" s="33">
        <f>E53*'Your paths'!C62</f>
        <v>0</v>
      </c>
      <c r="H53" s="33">
        <f>MAX(0,E53+G53-F53)</f>
        <v>0</v>
      </c>
      <c r="I53" s="33">
        <f>IF(C53=0,0,IF(AND(B53='Your paths'!C61,'Your paths'!C36&lt;&gt;"Rent"),'Your paths'!C41,I52)*(1+'Your paths'!$C$31)^(1/12))</f>
        <v>0</v>
      </c>
      <c r="J53" s="33">
        <f>(D53+F53+IF(C53=1,('Your paths'!C45/12+'Your paths'!C46+'Your paths'!C47)*(1+'Your paths'!$C$21)^INT((B53-1)/12),0))*'Your paths'!$C$32</f>
        <v>2546.8992</v>
      </c>
      <c r="K53" s="33">
        <f>('Your paths'!$C$9+'Your paths'!C49)*(1+'Your paths'!$C$24)^INT((B53-1)/12)</f>
        <v>7428.456</v>
      </c>
      <c r="L53" s="33">
        <f>('Your paths'!$C$10+'Your paths'!C48)*(1+'Your paths'!$C$21)^INT((B53-1)/12)</f>
        <v>2122.416</v>
      </c>
      <c r="M53" s="33">
        <f>IF('Your paths'!C39="",'Your paths'!$C$12,'Your paths'!C39)+IF(AND('Your paths'!C55="Yes",C53=1,B53&gt;='Your paths'!C57),'Your paths'!C56,0)</f>
        <v>1000</v>
      </c>
      <c r="N53" s="33">
        <f>N52+MAX(0,N52)*((1+'Your paths'!$C$29)^(1/12)-1)+Q53-P53+R53</f>
        <v>133895.166124677</v>
      </c>
      <c r="O53" s="33">
        <f>(O52-R53)*(1+'Your paths'!$C$30)^(1/12)+M53</f>
        <v>142535.80770342</v>
      </c>
      <c r="P53" s="33">
        <f>IF(AND(B53='Your paths'!C61,'Your paths'!C36&lt;&gt;"Rent"),'Your paths'!C42+'Your paths'!C65+IF('Your paths'!C36="Rent then buy",'Your paths'!C38,0),0)</f>
        <v>0</v>
      </c>
      <c r="Q53" s="33">
        <f>K53-SUM(J53,L53,M53)</f>
        <v>1759.1408</v>
      </c>
      <c r="R53" s="33">
        <f>IF(P53&gt;0,MIN(MAX(0,P53-N52),MAX(0,O52)),0)</f>
        <v>0</v>
      </c>
      <c r="S53" s="2">
        <f>IF(P53&gt;0,MAX(0,P53-N52-O52),0)</f>
        <v>0</v>
      </c>
    </row>
    <row r="54" ht="27" customHeight="1">
      <c r="A54" s="3" t="n"/>
      <c r="B54" s="3" t="n">
        <v>47</v>
      </c>
      <c r="C54" s="3">
        <f>IF(B54&gt;='Your paths'!C61,1,0)</f>
        <v>0</v>
      </c>
      <c r="D54" s="33">
        <f>IF(C54=1,0,'Your paths'!C37*(1+'Your paths'!$C$20)^INT((B54-1)/12))</f>
        <v>2546.8992</v>
      </c>
      <c r="E54" s="33">
        <f>IF(AND(B54='Your paths'!C61,'Your paths'!C36&lt;&gt;"Rent"),'Your paths'!C63,H53)</f>
        <v>0</v>
      </c>
      <c r="F54" s="33">
        <f>IF(C54=1,MIN('Your paths'!C64,E54*(1+'Your paths'!C62)),0)</f>
        <v>0</v>
      </c>
      <c r="G54" s="33">
        <f>E54*'Your paths'!C62</f>
        <v>0</v>
      </c>
      <c r="H54" s="33">
        <f>MAX(0,E54+G54-F54)</f>
        <v>0</v>
      </c>
      <c r="I54" s="33">
        <f>IF(C54=0,0,IF(AND(B54='Your paths'!C61,'Your paths'!C36&lt;&gt;"Rent"),'Your paths'!C41,I53)*(1+'Your paths'!$C$31)^(1/12))</f>
        <v>0</v>
      </c>
      <c r="J54" s="33">
        <f>(D54+F54+IF(C54=1,('Your paths'!C45/12+'Your paths'!C46+'Your paths'!C47)*(1+'Your paths'!$C$21)^INT((B54-1)/12),0))*'Your paths'!$C$32</f>
        <v>2546.8992</v>
      </c>
      <c r="K54" s="33">
        <f>('Your paths'!$C$9+'Your paths'!C49)*(1+'Your paths'!$C$24)^INT((B54-1)/12)</f>
        <v>7428.456</v>
      </c>
      <c r="L54" s="33">
        <f>('Your paths'!$C$10+'Your paths'!C48)*(1+'Your paths'!$C$21)^INT((B54-1)/12)</f>
        <v>2122.416</v>
      </c>
      <c r="M54" s="33">
        <f>IF('Your paths'!C39="",'Your paths'!$C$12,'Your paths'!C39)+IF(AND('Your paths'!C55="Yes",C54=1,B54&gt;='Your paths'!C57),'Your paths'!C56,0)</f>
        <v>1000</v>
      </c>
      <c r="N54" s="33">
        <f>N53+MAX(0,N53)*((1+'Your paths'!$C$29)^(1/12)-1)+Q54-P54+R54</f>
        <v>135875.445677466</v>
      </c>
      <c r="O54" s="33">
        <f>(O53-R54)*(1+'Your paths'!$C$30)^(1/12)+M54</f>
        <v>144002.432847487</v>
      </c>
      <c r="P54" s="33">
        <f>IF(AND(B54='Your paths'!C61,'Your paths'!C36&lt;&gt;"Rent"),'Your paths'!C42+'Your paths'!C65+IF('Your paths'!C36="Rent then buy",'Your paths'!C38,0),0)</f>
        <v>0</v>
      </c>
      <c r="Q54" s="33">
        <f>K54-SUM(J54,L54,M54)</f>
        <v>1759.1408</v>
      </c>
      <c r="R54" s="33">
        <f>IF(P54&gt;0,MIN(MAX(0,P54-N53),MAX(0,O53)),0)</f>
        <v>0</v>
      </c>
      <c r="S54" s="2">
        <f>IF(P54&gt;0,MAX(0,P54-N53-O53),0)</f>
        <v>0</v>
      </c>
    </row>
    <row r="55" ht="27" customHeight="1">
      <c r="A55" s="3" t="n"/>
      <c r="B55" s="3" t="n">
        <v>48</v>
      </c>
      <c r="C55" s="3">
        <f>IF(B55&gt;='Your paths'!C61,1,0)</f>
        <v>0</v>
      </c>
      <c r="D55" s="33">
        <f>IF(C55=1,0,'Your paths'!C37*(1+'Your paths'!$C$20)^INT((B55-1)/12))</f>
        <v>2546.8992</v>
      </c>
      <c r="E55" s="33">
        <f>IF(AND(B55='Your paths'!C61,'Your paths'!C36&lt;&gt;"Rent"),'Your paths'!C63,H54)</f>
        <v>0</v>
      </c>
      <c r="F55" s="33">
        <f>IF(C55=1,MIN('Your paths'!C64,E55*(1+'Your paths'!C62)),0)</f>
        <v>0</v>
      </c>
      <c r="G55" s="33">
        <f>E55*'Your paths'!C62</f>
        <v>0</v>
      </c>
      <c r="H55" s="33">
        <f>MAX(0,E55+G55-F55)</f>
        <v>0</v>
      </c>
      <c r="I55" s="33">
        <f>IF(C55=0,0,IF(AND(B55='Your paths'!C61,'Your paths'!C36&lt;&gt;"Rent"),'Your paths'!C41,I54)*(1+'Your paths'!$C$31)^(1/12))</f>
        <v>0</v>
      </c>
      <c r="J55" s="33">
        <f>(D55+F55+IF(C55=1,('Your paths'!C45/12+'Your paths'!C46+'Your paths'!C47)*(1+'Your paths'!$C$21)^INT((B55-1)/12),0))*'Your paths'!$C$32</f>
        <v>2546.8992</v>
      </c>
      <c r="K55" s="33">
        <f>('Your paths'!$C$9+'Your paths'!C49)*(1+'Your paths'!$C$24)^INT((B55-1)/12)</f>
        <v>7428.456</v>
      </c>
      <c r="L55" s="33">
        <f>('Your paths'!$C$10+'Your paths'!C48)*(1+'Your paths'!$C$21)^INT((B55-1)/12)</f>
        <v>2122.416</v>
      </c>
      <c r="M55" s="33">
        <f>IF('Your paths'!C39="",'Your paths'!$C$12,'Your paths'!C39)+IF(AND('Your paths'!C55="Yes",C55=1,B55&gt;='Your paths'!C57),'Your paths'!C56,0)</f>
        <v>1000</v>
      </c>
      <c r="N55" s="33">
        <f>N54+MAX(0,N54)*((1+'Your paths'!$C$29)^(1/12)-1)+Q55-P55+R55</f>
        <v>137858.995822937</v>
      </c>
      <c r="O55" s="33">
        <f>(O54-R55)*(1+'Your paths'!$C$30)^(1/12)+M55</f>
        <v>145473.859340633</v>
      </c>
      <c r="P55" s="33">
        <f>IF(AND(B55='Your paths'!C61,'Your paths'!C36&lt;&gt;"Rent"),'Your paths'!C42+'Your paths'!C65+IF('Your paths'!C36="Rent then buy",'Your paths'!C38,0),0)</f>
        <v>0</v>
      </c>
      <c r="Q55" s="33">
        <f>K55-SUM(J55,L55,M55)</f>
        <v>1759.1408</v>
      </c>
      <c r="R55" s="33">
        <f>IF(P55&gt;0,MIN(MAX(0,P55-N54),MAX(0,O54)),0)</f>
        <v>0</v>
      </c>
      <c r="S55" s="2">
        <f>IF(P55&gt;0,MAX(0,P55-N54-O54),0)</f>
        <v>0</v>
      </c>
    </row>
    <row r="56" ht="27" customHeight="1">
      <c r="A56" s="3" t="n"/>
      <c r="B56" s="3" t="n">
        <v>49</v>
      </c>
      <c r="C56" s="3">
        <f>IF(B56&gt;='Your paths'!C61,1,0)</f>
        <v>0</v>
      </c>
      <c r="D56" s="33">
        <f>IF(C56=1,0,'Your paths'!C37*(1+'Your paths'!$C$20)^INT((B56-1)/12))</f>
        <v>2597.837184</v>
      </c>
      <c r="E56" s="33">
        <f>IF(AND(B56='Your paths'!C61,'Your paths'!C36&lt;&gt;"Rent"),'Your paths'!C63,H55)</f>
        <v>0</v>
      </c>
      <c r="F56" s="33">
        <f>IF(C56=1,MIN('Your paths'!C64,E56*(1+'Your paths'!C62)),0)</f>
        <v>0</v>
      </c>
      <c r="G56" s="33">
        <f>E56*'Your paths'!C62</f>
        <v>0</v>
      </c>
      <c r="H56" s="33">
        <f>MAX(0,E56+G56-F56)</f>
        <v>0</v>
      </c>
      <c r="I56" s="33">
        <f>IF(C56=0,0,IF(AND(B56='Your paths'!C61,'Your paths'!C36&lt;&gt;"Rent"),'Your paths'!C41,I55)*(1+'Your paths'!$C$31)^(1/12))</f>
        <v>0</v>
      </c>
      <c r="J56" s="33">
        <f>(D56+F56+IF(C56=1,('Your paths'!C45/12+'Your paths'!C46+'Your paths'!C47)*(1+'Your paths'!$C$21)^INT((B56-1)/12),0))*'Your paths'!$C$32</f>
        <v>2597.837184</v>
      </c>
      <c r="K56" s="33">
        <f>('Your paths'!$C$9+'Your paths'!C49)*(1+'Your paths'!$C$24)^INT((B56-1)/12)</f>
        <v>7577.02512</v>
      </c>
      <c r="L56" s="33">
        <f>('Your paths'!$C$10+'Your paths'!C48)*(1+'Your paths'!$C$21)^INT((B56-1)/12)</f>
        <v>2164.86432</v>
      </c>
      <c r="M56" s="33">
        <f>IF('Your paths'!C39="",'Your paths'!$C$12,'Your paths'!C39)+IF(AND('Your paths'!C55="Yes",C56=1,B56&gt;='Your paths'!C57),'Your paths'!C56,0)</f>
        <v>1000</v>
      </c>
      <c r="N56" s="33">
        <f>N55+MAX(0,N55)*((1+'Your paths'!$C$29)^(1/12)-1)+Q56-P56+R56</f>
        <v>139901.004778739</v>
      </c>
      <c r="O56" s="33">
        <f>(O55-R56)*(1+'Your paths'!$C$30)^(1/12)+M56</f>
        <v>146950.102901226</v>
      </c>
      <c r="P56" s="33">
        <f>IF(AND(B56='Your paths'!C61,'Your paths'!C36&lt;&gt;"Rent"),'Your paths'!C42+'Your paths'!C65+IF('Your paths'!C36="Rent then buy",'Your paths'!C38,0),0)</f>
        <v>0</v>
      </c>
      <c r="Q56" s="33">
        <f>K56-SUM(J56,L56,M56)</f>
        <v>1814.323616</v>
      </c>
      <c r="R56" s="33">
        <f>IF(P56&gt;0,MIN(MAX(0,P56-N55),MAX(0,O55)),0)</f>
        <v>0</v>
      </c>
      <c r="S56" s="2">
        <f>IF(P56&gt;0,MAX(0,P56-N55-O55),0)</f>
        <v>0</v>
      </c>
    </row>
    <row r="57" ht="27" customHeight="1">
      <c r="A57" s="3" t="n"/>
      <c r="B57" s="3" t="n">
        <v>50</v>
      </c>
      <c r="C57" s="3">
        <f>IF(B57&gt;='Your paths'!C61,1,0)</f>
        <v>0</v>
      </c>
      <c r="D57" s="33">
        <f>IF(C57=1,0,'Your paths'!C37*(1+'Your paths'!$C$20)^INT((B57-1)/12))</f>
        <v>2597.837184</v>
      </c>
      <c r="E57" s="33">
        <f>IF(AND(B57='Your paths'!C61,'Your paths'!C36&lt;&gt;"Rent"),'Your paths'!C63,H56)</f>
        <v>0</v>
      </c>
      <c r="F57" s="33">
        <f>IF(C57=1,MIN('Your paths'!C64,E57*(1+'Your paths'!C62)),0)</f>
        <v>0</v>
      </c>
      <c r="G57" s="33">
        <f>E57*'Your paths'!C62</f>
        <v>0</v>
      </c>
      <c r="H57" s="33">
        <f>MAX(0,E57+G57-F57)</f>
        <v>0</v>
      </c>
      <c r="I57" s="33">
        <f>IF(C57=0,0,IF(AND(B57='Your paths'!C61,'Your paths'!C36&lt;&gt;"Rent"),'Your paths'!C41,I56)*(1+'Your paths'!$C$31)^(1/12))</f>
        <v>0</v>
      </c>
      <c r="J57" s="33">
        <f>(D57+F57+IF(C57=1,('Your paths'!C45/12+'Your paths'!C46+'Your paths'!C47)*(1+'Your paths'!$C$21)^INT((B57-1)/12),0))*'Your paths'!$C$32</f>
        <v>2597.837184</v>
      </c>
      <c r="K57" s="33">
        <f>('Your paths'!$C$9+'Your paths'!C49)*(1+'Your paths'!$C$24)^INT((B57-1)/12)</f>
        <v>7577.02512</v>
      </c>
      <c r="L57" s="33">
        <f>('Your paths'!$C$10+'Your paths'!C48)*(1+'Your paths'!$C$21)^INT((B57-1)/12)</f>
        <v>2164.86432</v>
      </c>
      <c r="M57" s="33">
        <f>IF('Your paths'!C39="",'Your paths'!$C$12,'Your paths'!C39)+IF(AND('Your paths'!C55="Yes",C57=1,B57&gt;='Your paths'!C57),'Your paths'!C56,0)</f>
        <v>1000</v>
      </c>
      <c r="N57" s="33">
        <f>N56+MAX(0,N56)*((1+'Your paths'!$C$29)^(1/12)-1)+Q57-P57+R57</f>
        <v>141946.386278352</v>
      </c>
      <c r="O57" s="33">
        <f>(O56-R57)*(1+'Your paths'!$C$30)^(1/12)+M57</f>
        <v>148431.179299092</v>
      </c>
      <c r="P57" s="33">
        <f>IF(AND(B57='Your paths'!C61,'Your paths'!C36&lt;&gt;"Rent"),'Your paths'!C42+'Your paths'!C65+IF('Your paths'!C36="Rent then buy",'Your paths'!C38,0),0)</f>
        <v>0</v>
      </c>
      <c r="Q57" s="33">
        <f>K57-SUM(J57,L57,M57)</f>
        <v>1814.323616</v>
      </c>
      <c r="R57" s="33">
        <f>IF(P57&gt;0,MIN(MAX(0,P57-N56),MAX(0,O56)),0)</f>
        <v>0</v>
      </c>
      <c r="S57" s="2">
        <f>IF(P57&gt;0,MAX(0,P57-N56-O56),0)</f>
        <v>0</v>
      </c>
    </row>
    <row r="58" ht="27" customHeight="1">
      <c r="A58" s="3" t="n"/>
      <c r="B58" s="3" t="n">
        <v>51</v>
      </c>
      <c r="C58" s="3">
        <f>IF(B58&gt;='Your paths'!C61,1,0)</f>
        <v>0</v>
      </c>
      <c r="D58" s="33">
        <f>IF(C58=1,0,'Your paths'!C37*(1+'Your paths'!$C$20)^INT((B58-1)/12))</f>
        <v>2597.837184</v>
      </c>
      <c r="E58" s="33">
        <f>IF(AND(B58='Your paths'!C61,'Your paths'!C36&lt;&gt;"Rent"),'Your paths'!C63,H57)</f>
        <v>0</v>
      </c>
      <c r="F58" s="33">
        <f>IF(C58=1,MIN('Your paths'!C64,E58*(1+'Your paths'!C62)),0)</f>
        <v>0</v>
      </c>
      <c r="G58" s="33">
        <f>E58*'Your paths'!C62</f>
        <v>0</v>
      </c>
      <c r="H58" s="33">
        <f>MAX(0,E58+G58-F58)</f>
        <v>0</v>
      </c>
      <c r="I58" s="33">
        <f>IF(C58=0,0,IF(AND(B58='Your paths'!C61,'Your paths'!C36&lt;&gt;"Rent"),'Your paths'!C41,I57)*(1+'Your paths'!$C$31)^(1/12))</f>
        <v>0</v>
      </c>
      <c r="J58" s="33">
        <f>(D58+F58+IF(C58=1,('Your paths'!C45/12+'Your paths'!C46+'Your paths'!C47)*(1+'Your paths'!$C$21)^INT((B58-1)/12),0))*'Your paths'!$C$32</f>
        <v>2597.837184</v>
      </c>
      <c r="K58" s="33">
        <f>('Your paths'!$C$9+'Your paths'!C49)*(1+'Your paths'!$C$24)^INT((B58-1)/12)</f>
        <v>7577.02512</v>
      </c>
      <c r="L58" s="33">
        <f>('Your paths'!$C$10+'Your paths'!C48)*(1+'Your paths'!$C$21)^INT((B58-1)/12)</f>
        <v>2164.86432</v>
      </c>
      <c r="M58" s="33">
        <f>IF('Your paths'!C39="",'Your paths'!$C$12,'Your paths'!C39)+IF(AND('Your paths'!C55="Yes",C58=1,B58&gt;='Your paths'!C57),'Your paths'!C56,0)</f>
        <v>1000</v>
      </c>
      <c r="N58" s="33">
        <f>N57+MAX(0,N57)*((1+'Your paths'!$C$29)^(1/12)-1)+Q58-P58+R58</f>
        <v>143995.145891804</v>
      </c>
      <c r="O58" s="33">
        <f>(O57-R58)*(1+'Your paths'!$C$30)^(1/12)+M58</f>
        <v>149917.104355682</v>
      </c>
      <c r="P58" s="33">
        <f>IF(AND(B58='Your paths'!C61,'Your paths'!C36&lt;&gt;"Rent"),'Your paths'!C42+'Your paths'!C65+IF('Your paths'!C36="Rent then buy",'Your paths'!C38,0),0)</f>
        <v>0</v>
      </c>
      <c r="Q58" s="33">
        <f>K58-SUM(J58,L58,M58)</f>
        <v>1814.323616</v>
      </c>
      <c r="R58" s="33">
        <f>IF(P58&gt;0,MIN(MAX(0,P58-N57),MAX(0,O57)),0)</f>
        <v>0</v>
      </c>
      <c r="S58" s="2">
        <f>IF(P58&gt;0,MAX(0,P58-N57-O57),0)</f>
        <v>0</v>
      </c>
    </row>
    <row r="59" ht="27" customHeight="1">
      <c r="A59" s="3" t="n"/>
      <c r="B59" s="3" t="n">
        <v>52</v>
      </c>
      <c r="C59" s="3">
        <f>IF(B59&gt;='Your paths'!C61,1,0)</f>
        <v>0</v>
      </c>
      <c r="D59" s="33">
        <f>IF(C59=1,0,'Your paths'!C37*(1+'Your paths'!$C$20)^INT((B59-1)/12))</f>
        <v>2597.837184</v>
      </c>
      <c r="E59" s="33">
        <f>IF(AND(B59='Your paths'!C61,'Your paths'!C36&lt;&gt;"Rent"),'Your paths'!C63,H58)</f>
        <v>0</v>
      </c>
      <c r="F59" s="33">
        <f>IF(C59=1,MIN('Your paths'!C64,E59*(1+'Your paths'!C62)),0)</f>
        <v>0</v>
      </c>
      <c r="G59" s="33">
        <f>E59*'Your paths'!C62</f>
        <v>0</v>
      </c>
      <c r="H59" s="33">
        <f>MAX(0,E59+G59-F59)</f>
        <v>0</v>
      </c>
      <c r="I59" s="33">
        <f>IF(C59=0,0,IF(AND(B59='Your paths'!C61,'Your paths'!C36&lt;&gt;"Rent"),'Your paths'!C41,I58)*(1+'Your paths'!$C$31)^(1/12))</f>
        <v>0</v>
      </c>
      <c r="J59" s="33">
        <f>(D59+F59+IF(C59=1,('Your paths'!C45/12+'Your paths'!C46+'Your paths'!C47)*(1+'Your paths'!$C$21)^INT((B59-1)/12),0))*'Your paths'!$C$32</f>
        <v>2597.837184</v>
      </c>
      <c r="K59" s="33">
        <f>('Your paths'!$C$9+'Your paths'!C49)*(1+'Your paths'!$C$24)^INT((B59-1)/12)</f>
        <v>7577.02512</v>
      </c>
      <c r="L59" s="33">
        <f>('Your paths'!$C$10+'Your paths'!C48)*(1+'Your paths'!$C$21)^INT((B59-1)/12)</f>
        <v>2164.86432</v>
      </c>
      <c r="M59" s="33">
        <f>IF('Your paths'!C39="",'Your paths'!$C$12,'Your paths'!C39)+IF(AND('Your paths'!C55="Yes",C59=1,B59&gt;='Your paths'!C57),'Your paths'!C56,0)</f>
        <v>1000</v>
      </c>
      <c r="N59" s="33">
        <f>N58+MAX(0,N58)*((1+'Your paths'!$C$29)^(1/12)-1)+Q59-P59+R59</f>
        <v>146047.289198326</v>
      </c>
      <c r="O59" s="33">
        <f>(O58-R59)*(1+'Your paths'!$C$30)^(1/12)+M59</f>
        <v>151407.893944244</v>
      </c>
      <c r="P59" s="33">
        <f>IF(AND(B59='Your paths'!C61,'Your paths'!C36&lt;&gt;"Rent"),'Your paths'!C42+'Your paths'!C65+IF('Your paths'!C36="Rent then buy",'Your paths'!C38,0),0)</f>
        <v>0</v>
      </c>
      <c r="Q59" s="33">
        <f>K59-SUM(J59,L59,M59)</f>
        <v>1814.323616</v>
      </c>
      <c r="R59" s="33">
        <f>IF(P59&gt;0,MIN(MAX(0,P59-N58),MAX(0,O58)),0)</f>
        <v>0</v>
      </c>
      <c r="S59" s="2">
        <f>IF(P59&gt;0,MAX(0,P59-N58-O58),0)</f>
        <v>0</v>
      </c>
    </row>
    <row r="60" ht="27" customHeight="1">
      <c r="A60" s="3" t="n"/>
      <c r="B60" s="3" t="n">
        <v>53</v>
      </c>
      <c r="C60" s="3">
        <f>IF(B60&gt;='Your paths'!C61,1,0)</f>
        <v>0</v>
      </c>
      <c r="D60" s="33">
        <f>IF(C60=1,0,'Your paths'!C37*(1+'Your paths'!$C$20)^INT((B60-1)/12))</f>
        <v>2597.837184</v>
      </c>
      <c r="E60" s="33">
        <f>IF(AND(B60='Your paths'!C61,'Your paths'!C36&lt;&gt;"Rent"),'Your paths'!C63,H59)</f>
        <v>0</v>
      </c>
      <c r="F60" s="33">
        <f>IF(C60=1,MIN('Your paths'!C64,E60*(1+'Your paths'!C62)),0)</f>
        <v>0</v>
      </c>
      <c r="G60" s="33">
        <f>E60*'Your paths'!C62</f>
        <v>0</v>
      </c>
      <c r="H60" s="33">
        <f>MAX(0,E60+G60-F60)</f>
        <v>0</v>
      </c>
      <c r="I60" s="33">
        <f>IF(C60=0,0,IF(AND(B60='Your paths'!C61,'Your paths'!C36&lt;&gt;"Rent"),'Your paths'!C41,I59)*(1+'Your paths'!$C$31)^(1/12))</f>
        <v>0</v>
      </c>
      <c r="J60" s="33">
        <f>(D60+F60+IF(C60=1,('Your paths'!C45/12+'Your paths'!C46+'Your paths'!C47)*(1+'Your paths'!$C$21)^INT((B60-1)/12),0))*'Your paths'!$C$32</f>
        <v>2597.837184</v>
      </c>
      <c r="K60" s="33">
        <f>('Your paths'!$C$9+'Your paths'!C49)*(1+'Your paths'!$C$24)^INT((B60-1)/12)</f>
        <v>7577.02512</v>
      </c>
      <c r="L60" s="33">
        <f>('Your paths'!$C$10+'Your paths'!C48)*(1+'Your paths'!$C$21)^INT((B60-1)/12)</f>
        <v>2164.86432</v>
      </c>
      <c r="M60" s="33">
        <f>IF('Your paths'!C39="",'Your paths'!$C$12,'Your paths'!C39)+IF(AND('Your paths'!C55="Yes",C60=1,B60&gt;='Your paths'!C57),'Your paths'!C56,0)</f>
        <v>1000</v>
      </c>
      <c r="N60" s="33">
        <f>N59+MAX(0,N59)*((1+'Your paths'!$C$29)^(1/12)-1)+Q60-P60+R60</f>
        <v>148102.821786362</v>
      </c>
      <c r="O60" s="33">
        <f>(O59-R60)*(1+'Your paths'!$C$30)^(1/12)+M60</f>
        <v>152903.563989988</v>
      </c>
      <c r="P60" s="33">
        <f>IF(AND(B60='Your paths'!C61,'Your paths'!C36&lt;&gt;"Rent"),'Your paths'!C42+'Your paths'!C65+IF('Your paths'!C36="Rent then buy",'Your paths'!C38,0),0)</f>
        <v>0</v>
      </c>
      <c r="Q60" s="33">
        <f>K60-SUM(J60,L60,M60)</f>
        <v>1814.323616</v>
      </c>
      <c r="R60" s="33">
        <f>IF(P60&gt;0,MIN(MAX(0,P60-N59),MAX(0,O59)),0)</f>
        <v>0</v>
      </c>
      <c r="S60" s="2">
        <f>IF(P60&gt;0,MAX(0,P60-N59-O59),0)</f>
        <v>0</v>
      </c>
    </row>
    <row r="61" ht="27" customHeight="1">
      <c r="A61" s="3" t="n"/>
      <c r="B61" s="3" t="n">
        <v>54</v>
      </c>
      <c r="C61" s="3">
        <f>IF(B61&gt;='Your paths'!C61,1,0)</f>
        <v>0</v>
      </c>
      <c r="D61" s="33">
        <f>IF(C61=1,0,'Your paths'!C37*(1+'Your paths'!$C$20)^INT((B61-1)/12))</f>
        <v>2597.837184</v>
      </c>
      <c r="E61" s="33">
        <f>IF(AND(B61='Your paths'!C61,'Your paths'!C36&lt;&gt;"Rent"),'Your paths'!C63,H60)</f>
        <v>0</v>
      </c>
      <c r="F61" s="33">
        <f>IF(C61=1,MIN('Your paths'!C64,E61*(1+'Your paths'!C62)),0)</f>
        <v>0</v>
      </c>
      <c r="G61" s="33">
        <f>E61*'Your paths'!C62</f>
        <v>0</v>
      </c>
      <c r="H61" s="33">
        <f>MAX(0,E61+G61-F61)</f>
        <v>0</v>
      </c>
      <c r="I61" s="33">
        <f>IF(C61=0,0,IF(AND(B61='Your paths'!C61,'Your paths'!C36&lt;&gt;"Rent"),'Your paths'!C41,I60)*(1+'Your paths'!$C$31)^(1/12))</f>
        <v>0</v>
      </c>
      <c r="J61" s="33">
        <f>(D61+F61+IF(C61=1,('Your paths'!C45/12+'Your paths'!C46+'Your paths'!C47)*(1+'Your paths'!$C$21)^INT((B61-1)/12),0))*'Your paths'!$C$32</f>
        <v>2597.837184</v>
      </c>
      <c r="K61" s="33">
        <f>('Your paths'!$C$9+'Your paths'!C49)*(1+'Your paths'!$C$24)^INT((B61-1)/12)</f>
        <v>7577.02512</v>
      </c>
      <c r="L61" s="33">
        <f>('Your paths'!$C$10+'Your paths'!C48)*(1+'Your paths'!$C$21)^INT((B61-1)/12)</f>
        <v>2164.86432</v>
      </c>
      <c r="M61" s="33">
        <f>IF('Your paths'!C39="",'Your paths'!$C$12,'Your paths'!C39)+IF(AND('Your paths'!C55="Yes",C61=1,B61&gt;='Your paths'!C57),'Your paths'!C56,0)</f>
        <v>1000</v>
      </c>
      <c r="N61" s="33">
        <f>N60+MAX(0,N60)*((1+'Your paths'!$C$29)^(1/12)-1)+Q61-P61+R61</f>
        <v>150161.749253586</v>
      </c>
      <c r="O61" s="33">
        <f>(O60-R61)*(1+'Your paths'!$C$30)^(1/12)+M61</f>
        <v>154404.130470262</v>
      </c>
      <c r="P61" s="33">
        <f>IF(AND(B61='Your paths'!C61,'Your paths'!C36&lt;&gt;"Rent"),'Your paths'!C42+'Your paths'!C65+IF('Your paths'!C36="Rent then buy",'Your paths'!C38,0),0)</f>
        <v>0</v>
      </c>
      <c r="Q61" s="33">
        <f>K61-SUM(J61,L61,M61)</f>
        <v>1814.323616</v>
      </c>
      <c r="R61" s="33">
        <f>IF(P61&gt;0,MIN(MAX(0,P61-N60),MAX(0,O60)),0)</f>
        <v>0</v>
      </c>
      <c r="S61" s="2">
        <f>IF(P61&gt;0,MAX(0,P61-N60-O60),0)</f>
        <v>0</v>
      </c>
    </row>
    <row r="62" ht="27" customHeight="1">
      <c r="A62" s="3" t="n"/>
      <c r="B62" s="3" t="n">
        <v>55</v>
      </c>
      <c r="C62" s="3">
        <f>IF(B62&gt;='Your paths'!C61,1,0)</f>
        <v>0</v>
      </c>
      <c r="D62" s="33">
        <f>IF(C62=1,0,'Your paths'!C37*(1+'Your paths'!$C$20)^INT((B62-1)/12))</f>
        <v>2597.837184</v>
      </c>
      <c r="E62" s="33">
        <f>IF(AND(B62='Your paths'!C61,'Your paths'!C36&lt;&gt;"Rent"),'Your paths'!C63,H61)</f>
        <v>0</v>
      </c>
      <c r="F62" s="33">
        <f>IF(C62=1,MIN('Your paths'!C64,E62*(1+'Your paths'!C62)),0)</f>
        <v>0</v>
      </c>
      <c r="G62" s="33">
        <f>E62*'Your paths'!C62</f>
        <v>0</v>
      </c>
      <c r="H62" s="33">
        <f>MAX(0,E62+G62-F62)</f>
        <v>0</v>
      </c>
      <c r="I62" s="33">
        <f>IF(C62=0,0,IF(AND(B62='Your paths'!C61,'Your paths'!C36&lt;&gt;"Rent"),'Your paths'!C41,I61)*(1+'Your paths'!$C$31)^(1/12))</f>
        <v>0</v>
      </c>
      <c r="J62" s="33">
        <f>(D62+F62+IF(C62=1,('Your paths'!C45/12+'Your paths'!C46+'Your paths'!C47)*(1+'Your paths'!$C$21)^INT((B62-1)/12),0))*'Your paths'!$C$32</f>
        <v>2597.837184</v>
      </c>
      <c r="K62" s="33">
        <f>('Your paths'!$C$9+'Your paths'!C49)*(1+'Your paths'!$C$24)^INT((B62-1)/12)</f>
        <v>7577.02512</v>
      </c>
      <c r="L62" s="33">
        <f>('Your paths'!$C$10+'Your paths'!C48)*(1+'Your paths'!$C$21)^INT((B62-1)/12)</f>
        <v>2164.86432</v>
      </c>
      <c r="M62" s="33">
        <f>IF('Your paths'!C39="",'Your paths'!$C$12,'Your paths'!C39)+IF(AND('Your paths'!C55="Yes",C62=1,B62&gt;='Your paths'!C57),'Your paths'!C56,0)</f>
        <v>1000</v>
      </c>
      <c r="N62" s="33">
        <f>N61+MAX(0,N61)*((1+'Your paths'!$C$29)^(1/12)-1)+Q62-P62+R62</f>
        <v>152224.077206917</v>
      </c>
      <c r="O62" s="33">
        <f>(O61-R62)*(1+'Your paths'!$C$30)^(1/12)+M62</f>
        <v>155909.609414718</v>
      </c>
      <c r="P62" s="33">
        <f>IF(AND(B62='Your paths'!C61,'Your paths'!C36&lt;&gt;"Rent"),'Your paths'!C42+'Your paths'!C65+IF('Your paths'!C36="Rent then buy",'Your paths'!C38,0),0)</f>
        <v>0</v>
      </c>
      <c r="Q62" s="33">
        <f>K62-SUM(J62,L62,M62)</f>
        <v>1814.323616</v>
      </c>
      <c r="R62" s="33">
        <f>IF(P62&gt;0,MIN(MAX(0,P62-N61),MAX(0,O61)),0)</f>
        <v>0</v>
      </c>
      <c r="S62" s="2">
        <f>IF(P62&gt;0,MAX(0,P62-N61-O61),0)</f>
        <v>0</v>
      </c>
    </row>
    <row r="63" ht="27" customHeight="1">
      <c r="A63" s="3" t="n"/>
      <c r="B63" s="3" t="n">
        <v>56</v>
      </c>
      <c r="C63" s="3">
        <f>IF(B63&gt;='Your paths'!C61,1,0)</f>
        <v>0</v>
      </c>
      <c r="D63" s="33">
        <f>IF(C63=1,0,'Your paths'!C37*(1+'Your paths'!$C$20)^INT((B63-1)/12))</f>
        <v>2597.837184</v>
      </c>
      <c r="E63" s="33">
        <f>IF(AND(B63='Your paths'!C61,'Your paths'!C36&lt;&gt;"Rent"),'Your paths'!C63,H62)</f>
        <v>0</v>
      </c>
      <c r="F63" s="33">
        <f>IF(C63=1,MIN('Your paths'!C64,E63*(1+'Your paths'!C62)),0)</f>
        <v>0</v>
      </c>
      <c r="G63" s="33">
        <f>E63*'Your paths'!C62</f>
        <v>0</v>
      </c>
      <c r="H63" s="33">
        <f>MAX(0,E63+G63-F63)</f>
        <v>0</v>
      </c>
      <c r="I63" s="33">
        <f>IF(C63=0,0,IF(AND(B63='Your paths'!C61,'Your paths'!C36&lt;&gt;"Rent"),'Your paths'!C41,I62)*(1+'Your paths'!$C$31)^(1/12))</f>
        <v>0</v>
      </c>
      <c r="J63" s="33">
        <f>(D63+F63+IF(C63=1,('Your paths'!C45/12+'Your paths'!C46+'Your paths'!C47)*(1+'Your paths'!$C$21)^INT((B63-1)/12),0))*'Your paths'!$C$32</f>
        <v>2597.837184</v>
      </c>
      <c r="K63" s="33">
        <f>('Your paths'!$C$9+'Your paths'!C49)*(1+'Your paths'!$C$24)^INT((B63-1)/12)</f>
        <v>7577.02512</v>
      </c>
      <c r="L63" s="33">
        <f>('Your paths'!$C$10+'Your paths'!C48)*(1+'Your paths'!$C$21)^INT((B63-1)/12)</f>
        <v>2164.86432</v>
      </c>
      <c r="M63" s="33">
        <f>IF('Your paths'!C39="",'Your paths'!$C$12,'Your paths'!C39)+IF(AND('Your paths'!C55="Yes",C63=1,B63&gt;='Your paths'!C57),'Your paths'!C56,0)</f>
        <v>1000</v>
      </c>
      <c r="N63" s="33">
        <f>N62+MAX(0,N62)*((1+'Your paths'!$C$29)^(1/12)-1)+Q63-P63+R63</f>
        <v>154289.811262534</v>
      </c>
      <c r="O63" s="33">
        <f>(O62-R63)*(1+'Your paths'!$C$30)^(1/12)+M63</f>
        <v>157420.016905486</v>
      </c>
      <c r="P63" s="33">
        <f>IF(AND(B63='Your paths'!C61,'Your paths'!C36&lt;&gt;"Rent"),'Your paths'!C42+'Your paths'!C65+IF('Your paths'!C36="Rent then buy",'Your paths'!C38,0),0)</f>
        <v>0</v>
      </c>
      <c r="Q63" s="33">
        <f>K63-SUM(J63,L63,M63)</f>
        <v>1814.323616</v>
      </c>
      <c r="R63" s="33">
        <f>IF(P63&gt;0,MIN(MAX(0,P63-N62),MAX(0,O62)),0)</f>
        <v>0</v>
      </c>
      <c r="S63" s="2">
        <f>IF(P63&gt;0,MAX(0,P63-N62-O62),0)</f>
        <v>0</v>
      </c>
    </row>
    <row r="64" ht="27" customHeight="1">
      <c r="A64" s="3" t="n"/>
      <c r="B64" s="3" t="n">
        <v>57</v>
      </c>
      <c r="C64" s="3">
        <f>IF(B64&gt;='Your paths'!C61,1,0)</f>
        <v>0</v>
      </c>
      <c r="D64" s="33">
        <f>IF(C64=1,0,'Your paths'!C37*(1+'Your paths'!$C$20)^INT((B64-1)/12))</f>
        <v>2597.837184</v>
      </c>
      <c r="E64" s="33">
        <f>IF(AND(B64='Your paths'!C61,'Your paths'!C36&lt;&gt;"Rent"),'Your paths'!C63,H63)</f>
        <v>0</v>
      </c>
      <c r="F64" s="33">
        <f>IF(C64=1,MIN('Your paths'!C64,E64*(1+'Your paths'!C62)),0)</f>
        <v>0</v>
      </c>
      <c r="G64" s="33">
        <f>E64*'Your paths'!C62</f>
        <v>0</v>
      </c>
      <c r="H64" s="33">
        <f>MAX(0,E64+G64-F64)</f>
        <v>0</v>
      </c>
      <c r="I64" s="33">
        <f>IF(C64=0,0,IF(AND(B64='Your paths'!C61,'Your paths'!C36&lt;&gt;"Rent"),'Your paths'!C41,I63)*(1+'Your paths'!$C$31)^(1/12))</f>
        <v>0</v>
      </c>
      <c r="J64" s="33">
        <f>(D64+F64+IF(C64=1,('Your paths'!C45/12+'Your paths'!C46+'Your paths'!C47)*(1+'Your paths'!$C$21)^INT((B64-1)/12),0))*'Your paths'!$C$32</f>
        <v>2597.837184</v>
      </c>
      <c r="K64" s="33">
        <f>('Your paths'!$C$9+'Your paths'!C49)*(1+'Your paths'!$C$24)^INT((B64-1)/12)</f>
        <v>7577.02512</v>
      </c>
      <c r="L64" s="33">
        <f>('Your paths'!$C$10+'Your paths'!C48)*(1+'Your paths'!$C$21)^INT((B64-1)/12)</f>
        <v>2164.86432</v>
      </c>
      <c r="M64" s="33">
        <f>IF('Your paths'!C39="",'Your paths'!$C$12,'Your paths'!C39)+IF(AND('Your paths'!C55="Yes",C64=1,B64&gt;='Your paths'!C57),'Your paths'!C56,0)</f>
        <v>1000</v>
      </c>
      <c r="N64" s="33">
        <f>N63+MAX(0,N63)*((1+'Your paths'!$C$29)^(1/12)-1)+Q64-P64+R64</f>
        <v>156358.957045892</v>
      </c>
      <c r="O64" s="33">
        <f>(O63-R64)*(1+'Your paths'!$C$30)^(1/12)+M64</f>
        <v>158935.369077344</v>
      </c>
      <c r="P64" s="33">
        <f>IF(AND(B64='Your paths'!C61,'Your paths'!C36&lt;&gt;"Rent"),'Your paths'!C42+'Your paths'!C65+IF('Your paths'!C36="Rent then buy",'Your paths'!C38,0),0)</f>
        <v>0</v>
      </c>
      <c r="Q64" s="33">
        <f>K64-SUM(J64,L64,M64)</f>
        <v>1814.323616</v>
      </c>
      <c r="R64" s="33">
        <f>IF(P64&gt;0,MIN(MAX(0,P64-N63),MAX(0,O63)),0)</f>
        <v>0</v>
      </c>
      <c r="S64" s="2">
        <f>IF(P64&gt;0,MAX(0,P64-N63-O63),0)</f>
        <v>0</v>
      </c>
    </row>
    <row r="65" ht="27" customHeight="1">
      <c r="A65" s="3" t="n"/>
      <c r="B65" s="3" t="n">
        <v>58</v>
      </c>
      <c r="C65" s="3">
        <f>IF(B65&gt;='Your paths'!C61,1,0)</f>
        <v>0</v>
      </c>
      <c r="D65" s="33">
        <f>IF(C65=1,0,'Your paths'!C37*(1+'Your paths'!$C$20)^INT((B65-1)/12))</f>
        <v>2597.837184</v>
      </c>
      <c r="E65" s="33">
        <f>IF(AND(B65='Your paths'!C61,'Your paths'!C36&lt;&gt;"Rent"),'Your paths'!C63,H64)</f>
        <v>0</v>
      </c>
      <c r="F65" s="33">
        <f>IF(C65=1,MIN('Your paths'!C64,E65*(1+'Your paths'!C62)),0)</f>
        <v>0</v>
      </c>
      <c r="G65" s="33">
        <f>E65*'Your paths'!C62</f>
        <v>0</v>
      </c>
      <c r="H65" s="33">
        <f>MAX(0,E65+G65-F65)</f>
        <v>0</v>
      </c>
      <c r="I65" s="33">
        <f>IF(C65=0,0,IF(AND(B65='Your paths'!C61,'Your paths'!C36&lt;&gt;"Rent"),'Your paths'!C41,I64)*(1+'Your paths'!$C$31)^(1/12))</f>
        <v>0</v>
      </c>
      <c r="J65" s="33">
        <f>(D65+F65+IF(C65=1,('Your paths'!C45/12+'Your paths'!C46+'Your paths'!C47)*(1+'Your paths'!$C$21)^INT((B65-1)/12),0))*'Your paths'!$C$32</f>
        <v>2597.837184</v>
      </c>
      <c r="K65" s="33">
        <f>('Your paths'!$C$9+'Your paths'!C49)*(1+'Your paths'!$C$24)^INT((B65-1)/12)</f>
        <v>7577.02512</v>
      </c>
      <c r="L65" s="33">
        <f>('Your paths'!$C$10+'Your paths'!C48)*(1+'Your paths'!$C$21)^INT((B65-1)/12)</f>
        <v>2164.86432</v>
      </c>
      <c r="M65" s="33">
        <f>IF('Your paths'!C39="",'Your paths'!$C$12,'Your paths'!C39)+IF(AND('Your paths'!C55="Yes",C65=1,B65&gt;='Your paths'!C57),'Your paths'!C56,0)</f>
        <v>1000</v>
      </c>
      <c r="N65" s="33">
        <f>N64+MAX(0,N64)*((1+'Your paths'!$C$29)^(1/12)-1)+Q65-P65+R65</f>
        <v>158431.520191737</v>
      </c>
      <c r="O65" s="33">
        <f>(O64-R65)*(1+'Your paths'!$C$30)^(1/12)+M65</f>
        <v>160455.682117891</v>
      </c>
      <c r="P65" s="33">
        <f>IF(AND(B65='Your paths'!C61,'Your paths'!C36&lt;&gt;"Rent"),'Your paths'!C42+'Your paths'!C65+IF('Your paths'!C36="Rent then buy",'Your paths'!C38,0),0)</f>
        <v>0</v>
      </c>
      <c r="Q65" s="33">
        <f>K65-SUM(J65,L65,M65)</f>
        <v>1814.323616</v>
      </c>
      <c r="R65" s="33">
        <f>IF(P65&gt;0,MIN(MAX(0,P65-N64),MAX(0,O64)),0)</f>
        <v>0</v>
      </c>
      <c r="S65" s="2">
        <f>IF(P65&gt;0,MAX(0,P65-N64-O64),0)</f>
        <v>0</v>
      </c>
    </row>
    <row r="66" ht="27" customHeight="1">
      <c r="A66" s="3" t="n"/>
      <c r="B66" s="3" t="n">
        <v>59</v>
      </c>
      <c r="C66" s="3">
        <f>IF(B66&gt;='Your paths'!C61,1,0)</f>
        <v>0</v>
      </c>
      <c r="D66" s="33">
        <f>IF(C66=1,0,'Your paths'!C37*(1+'Your paths'!$C$20)^INT((B66-1)/12))</f>
        <v>2597.837184</v>
      </c>
      <c r="E66" s="33">
        <f>IF(AND(B66='Your paths'!C61,'Your paths'!C36&lt;&gt;"Rent"),'Your paths'!C63,H65)</f>
        <v>0</v>
      </c>
      <c r="F66" s="33">
        <f>IF(C66=1,MIN('Your paths'!C64,E66*(1+'Your paths'!C62)),0)</f>
        <v>0</v>
      </c>
      <c r="G66" s="33">
        <f>E66*'Your paths'!C62</f>
        <v>0</v>
      </c>
      <c r="H66" s="33">
        <f>MAX(0,E66+G66-F66)</f>
        <v>0</v>
      </c>
      <c r="I66" s="33">
        <f>IF(C66=0,0,IF(AND(B66='Your paths'!C61,'Your paths'!C36&lt;&gt;"Rent"),'Your paths'!C41,I65)*(1+'Your paths'!$C$31)^(1/12))</f>
        <v>0</v>
      </c>
      <c r="J66" s="33">
        <f>(D66+F66+IF(C66=1,('Your paths'!C45/12+'Your paths'!C46+'Your paths'!C47)*(1+'Your paths'!$C$21)^INT((B66-1)/12),0))*'Your paths'!$C$32</f>
        <v>2597.837184</v>
      </c>
      <c r="K66" s="33">
        <f>('Your paths'!$C$9+'Your paths'!C49)*(1+'Your paths'!$C$24)^INT((B66-1)/12)</f>
        <v>7577.02512</v>
      </c>
      <c r="L66" s="33">
        <f>('Your paths'!$C$10+'Your paths'!C48)*(1+'Your paths'!$C$21)^INT((B66-1)/12)</f>
        <v>2164.86432</v>
      </c>
      <c r="M66" s="33">
        <f>IF('Your paths'!C39="",'Your paths'!$C$12,'Your paths'!C39)+IF(AND('Your paths'!C55="Yes",C66=1,B66&gt;='Your paths'!C57),'Your paths'!C56,0)</f>
        <v>1000</v>
      </c>
      <c r="N66" s="33">
        <f>N65+MAX(0,N65)*((1+'Your paths'!$C$29)^(1/12)-1)+Q66-P66+R66</f>
        <v>160507.506344121</v>
      </c>
      <c r="O66" s="33">
        <f>(O65-R66)*(1+'Your paths'!$C$30)^(1/12)+M66</f>
        <v>161980.97226772</v>
      </c>
      <c r="P66" s="33">
        <f>IF(AND(B66='Your paths'!C61,'Your paths'!C36&lt;&gt;"Rent"),'Your paths'!C42+'Your paths'!C65+IF('Your paths'!C36="Rent then buy",'Your paths'!C38,0),0)</f>
        <v>0</v>
      </c>
      <c r="Q66" s="33">
        <f>K66-SUM(J66,L66,M66)</f>
        <v>1814.323616</v>
      </c>
      <c r="R66" s="33">
        <f>IF(P66&gt;0,MIN(MAX(0,P66-N65),MAX(0,O65)),0)</f>
        <v>0</v>
      </c>
      <c r="S66" s="2">
        <f>IF(P66&gt;0,MAX(0,P66-N65-O65),0)</f>
        <v>0</v>
      </c>
    </row>
    <row r="67" ht="27" customHeight="1">
      <c r="A67" s="3" t="n"/>
      <c r="B67" s="3" t="n">
        <v>60</v>
      </c>
      <c r="C67" s="3">
        <f>IF(B67&gt;='Your paths'!C61,1,0)</f>
        <v>0</v>
      </c>
      <c r="D67" s="33">
        <f>IF(C67=1,0,'Your paths'!C37*(1+'Your paths'!$C$20)^INT((B67-1)/12))</f>
        <v>2597.837184</v>
      </c>
      <c r="E67" s="33">
        <f>IF(AND(B67='Your paths'!C61,'Your paths'!C36&lt;&gt;"Rent"),'Your paths'!C63,H66)</f>
        <v>0</v>
      </c>
      <c r="F67" s="33">
        <f>IF(C67=1,MIN('Your paths'!C64,E67*(1+'Your paths'!C62)),0)</f>
        <v>0</v>
      </c>
      <c r="G67" s="33">
        <f>E67*'Your paths'!C62</f>
        <v>0</v>
      </c>
      <c r="H67" s="33">
        <f>MAX(0,E67+G67-F67)</f>
        <v>0</v>
      </c>
      <c r="I67" s="33">
        <f>IF(C67=0,0,IF(AND(B67='Your paths'!C61,'Your paths'!C36&lt;&gt;"Rent"),'Your paths'!C41,I66)*(1+'Your paths'!$C$31)^(1/12))</f>
        <v>0</v>
      </c>
      <c r="J67" s="33">
        <f>(D67+F67+IF(C67=1,('Your paths'!C45/12+'Your paths'!C46+'Your paths'!C47)*(1+'Your paths'!$C$21)^INT((B67-1)/12),0))*'Your paths'!$C$32</f>
        <v>2597.837184</v>
      </c>
      <c r="K67" s="33">
        <f>('Your paths'!$C$9+'Your paths'!C49)*(1+'Your paths'!$C$24)^INT((B67-1)/12)</f>
        <v>7577.02512</v>
      </c>
      <c r="L67" s="33">
        <f>('Your paths'!$C$10+'Your paths'!C48)*(1+'Your paths'!$C$21)^INT((B67-1)/12)</f>
        <v>2164.86432</v>
      </c>
      <c r="M67" s="33">
        <f>IF('Your paths'!C39="",'Your paths'!$C$12,'Your paths'!C39)+IF(AND('Your paths'!C55="Yes",C67=1,B67&gt;='Your paths'!C57),'Your paths'!C56,0)</f>
        <v>1000</v>
      </c>
      <c r="N67" s="33">
        <f>N66+MAX(0,N66)*((1+'Your paths'!$C$29)^(1/12)-1)+Q67-P67+R67</f>
        <v>162586.921156416</v>
      </c>
      <c r="O67" s="33">
        <f>(O66-R67)*(1+'Your paths'!$C$30)^(1/12)+M67</f>
        <v>163511.255820592</v>
      </c>
      <c r="P67" s="33">
        <f>IF(AND(B67='Your paths'!C61,'Your paths'!C36&lt;&gt;"Rent"),'Your paths'!C42+'Your paths'!C65+IF('Your paths'!C36="Rent then buy",'Your paths'!C38,0),0)</f>
        <v>0</v>
      </c>
      <c r="Q67" s="33">
        <f>K67-SUM(J67,L67,M67)</f>
        <v>1814.323616</v>
      </c>
      <c r="R67" s="33">
        <f>IF(P67&gt;0,MIN(MAX(0,P67-N66),MAX(0,O66)),0)</f>
        <v>0</v>
      </c>
      <c r="S67" s="2">
        <f>IF(P67&gt;0,MAX(0,P67-N66-O66),0)</f>
        <v>0</v>
      </c>
    </row>
    <row r="68" ht="27" customHeight="1">
      <c r="A68" s="3" t="n"/>
      <c r="B68" s="3" t="n"/>
      <c r="C68" s="3" t="n"/>
      <c r="D68" s="3" t="n"/>
      <c r="E68" s="3" t="n"/>
      <c r="F68" s="3" t="n"/>
      <c r="G68" s="3" t="n"/>
      <c r="H68" s="3" t="n"/>
      <c r="I68" s="3" t="n"/>
      <c r="J68" s="3" t="n"/>
      <c r="K68" s="3" t="n"/>
      <c r="L68" s="3" t="n"/>
      <c r="M68" s="3" t="n"/>
      <c r="N68" s="3" t="n"/>
      <c r="O68" s="3" t="n"/>
      <c r="P68" s="3" t="n"/>
      <c r="Q68" s="3" t="n"/>
      <c r="R68" s="3" t="n"/>
    </row>
    <row r="69" ht="27" customHeight="1">
      <c r="A69" s="3" t="n"/>
      <c r="B69" s="3" t="n"/>
      <c r="C69" s="3" t="n"/>
      <c r="D69" s="3" t="n"/>
      <c r="E69" s="3" t="n"/>
      <c r="F69" s="3" t="n"/>
      <c r="G69" s="3" t="n"/>
      <c r="H69" s="3" t="n"/>
      <c r="I69" s="3" t="n"/>
      <c r="J69" s="3" t="n"/>
      <c r="K69" s="3" t="n"/>
      <c r="L69" s="3" t="n"/>
      <c r="M69" s="3" t="n"/>
      <c r="N69" s="3" t="n"/>
      <c r="O69" s="3" t="n"/>
      <c r="P69" s="3" t="n"/>
      <c r="Q69" s="3" t="n"/>
      <c r="R69" s="3" t="n"/>
    </row>
    <row r="70" ht="27" customHeight="1">
      <c r="A70" s="3" t="n"/>
      <c r="B70" s="3" t="n"/>
      <c r="C70" s="3" t="n"/>
      <c r="D70" s="3" t="n"/>
      <c r="E70" s="3" t="n"/>
      <c r="F70" s="3" t="n"/>
      <c r="G70" s="3" t="n"/>
      <c r="H70" s="3" t="n"/>
      <c r="I70" s="3" t="n"/>
      <c r="J70" s="3" t="n"/>
      <c r="K70" s="3" t="n"/>
      <c r="L70" s="3" t="n"/>
      <c r="M70" s="3" t="n"/>
      <c r="N70" s="3" t="n"/>
      <c r="O70" s="3" t="n"/>
      <c r="P70" s="3" t="n"/>
      <c r="Q70" s="3" t="n"/>
      <c r="R70" s="3" t="n"/>
    </row>
    <row r="71" ht="25" customHeight="1">
      <c r="A71" s="3" t="n"/>
      <c r="B71" s="12" t="inlineStr">
        <is>
          <t>PATH 2</t>
        </is>
      </c>
    </row>
    <row r="72" ht="27" customHeight="1">
      <c r="A72" s="3" t="n"/>
      <c r="B72" s="23" t="inlineStr">
        <is>
          <t>Month</t>
        </is>
      </c>
      <c r="C72" s="23" t="inlineStr">
        <is>
          <t>Owns home?</t>
        </is>
      </c>
      <c r="D72" s="23" t="inlineStr">
        <is>
          <t>Rent</t>
        </is>
      </c>
      <c r="E72" s="23" t="inlineStr">
        <is>
          <t>Opening loan</t>
        </is>
      </c>
      <c r="F72" s="23" t="inlineStr">
        <is>
          <t>Payment</t>
        </is>
      </c>
      <c r="G72" s="23" t="inlineStr">
        <is>
          <t>Interest</t>
        </is>
      </c>
      <c r="H72" s="23" t="inlineStr">
        <is>
          <t>Closing loan</t>
        </is>
      </c>
      <c r="I72" s="23" t="inlineStr">
        <is>
          <t>Home value</t>
        </is>
      </c>
      <c r="J72" s="23" t="inlineStr">
        <is>
          <t>Housing cost</t>
        </is>
      </c>
      <c r="K72" s="23" t="inlineStr">
        <is>
          <t>Income</t>
        </is>
      </c>
      <c r="L72" s="23" t="inlineStr">
        <is>
          <t>Other costs</t>
        </is>
      </c>
      <c r="M72" s="23" t="inlineStr">
        <is>
          <t>Investing</t>
        </is>
      </c>
      <c r="N72" s="23" t="inlineStr">
        <is>
          <t>Cash</t>
        </is>
      </c>
      <c r="O72" s="23" t="inlineStr">
        <is>
          <t>Investments</t>
        </is>
      </c>
      <c r="P72" s="23" t="inlineStr">
        <is>
          <t>Capital outlay</t>
        </is>
      </c>
      <c r="Q72" s="23" t="inlineStr">
        <is>
          <t>Flexibility</t>
        </is>
      </c>
      <c r="R72" s="23" t="inlineStr">
        <is>
          <t>Investments sold</t>
        </is>
      </c>
      <c r="S72" s="29" t="inlineStr">
        <is>
          <t>Purchase funding gap</t>
        </is>
      </c>
    </row>
    <row r="73" ht="27" customHeight="1">
      <c r="A73" s="3" t="n"/>
      <c r="B73" s="3" t="n">
        <v>0</v>
      </c>
      <c r="C73" s="3" t="n">
        <v>0</v>
      </c>
      <c r="D73" s="33" t="n">
        <v>0</v>
      </c>
      <c r="E73" s="33" t="n">
        <v>0</v>
      </c>
      <c r="F73" s="33" t="n">
        <v>0</v>
      </c>
      <c r="G73" s="33" t="n">
        <v>0</v>
      </c>
      <c r="H73" s="33" t="n">
        <v>0</v>
      </c>
      <c r="I73" s="33" t="n">
        <v>0</v>
      </c>
      <c r="J73" s="33" t="n">
        <v>0</v>
      </c>
      <c r="K73" s="33" t="n">
        <v>0</v>
      </c>
      <c r="L73" s="33" t="n">
        <v>0</v>
      </c>
      <c r="M73" s="33" t="n">
        <v>0</v>
      </c>
      <c r="N73" s="33">
        <f>'Your paths'!$C$7-'Your paths'!D38</f>
        <v>48500</v>
      </c>
      <c r="O73" s="33">
        <f>'Your paths'!$C$8</f>
        <v>80000</v>
      </c>
      <c r="P73" s="33">
        <f>'Your paths'!D38</f>
        <v>1500</v>
      </c>
      <c r="Q73" s="33" t="n">
        <v>0</v>
      </c>
      <c r="R73" s="33" t="n">
        <v>0</v>
      </c>
      <c r="S73" s="2" t="n">
        <v>0</v>
      </c>
    </row>
    <row r="74" ht="27" customHeight="1">
      <c r="A74" s="3" t="n"/>
      <c r="B74" s="3" t="n">
        <v>1</v>
      </c>
      <c r="C74" s="3">
        <f>IF(B74&gt;='Your paths'!D61,1,0)</f>
        <v>1</v>
      </c>
      <c r="D74" s="33">
        <f>IF(C74=1,0,'Your paths'!D37*(1+'Your paths'!$C$20)^INT((B74-1)/12))</f>
        <v>0</v>
      </c>
      <c r="E74" s="33">
        <f>IF(AND(B74='Your paths'!D61,'Your paths'!D36&lt;&gt;"Rent"),'Your paths'!D63,H73)</f>
        <v>400000</v>
      </c>
      <c r="F74" s="33">
        <f>IF(C74=1,MIN('Your paths'!D64,E74*(1+'Your paths'!D62)),0)</f>
        <v>2213.89181714195</v>
      </c>
      <c r="G74" s="33">
        <f>E74*'Your paths'!D62</f>
        <v>1486.12782992288</v>
      </c>
      <c r="H74" s="33">
        <f>MAX(0,E74+G74-F74)</f>
        <v>399272.236012781</v>
      </c>
      <c r="I74" s="33">
        <f>IF(C74=0,0,IF(AND(B74='Your paths'!D61,'Your paths'!D36&lt;&gt;"Rent"),'Your paths'!D41,I73)*(1+'Your paths'!$C$31)^(1/12))</f>
        <v>500825.79065096</v>
      </c>
      <c r="J74" s="33">
        <f>(D74+F74+IF(C74=1,('Your paths'!D45/12+'Your paths'!D46+'Your paths'!D47)*(1+'Your paths'!$C$21)^INT((B74-1)/12),0))*'Your paths'!$C$32</f>
        <v>3052.22515047529</v>
      </c>
      <c r="K74" s="33">
        <f>('Your paths'!$C$9+'Your paths'!D49)*(1+'Your paths'!$C$24)^INT((B74-1)/12)</f>
        <v>7000</v>
      </c>
      <c r="L74" s="33">
        <f>('Your paths'!$C$10+'Your paths'!D48)*(1+'Your paths'!$C$21)^INT((B74-1)/12)</f>
        <v>2000</v>
      </c>
      <c r="M74" s="33">
        <f>IF('Your paths'!D39="",'Your paths'!$C$12,'Your paths'!D39)+IF(AND('Your paths'!D55="Yes",C74=1,B74&gt;='Your paths'!D57),'Your paths'!D56,0)</f>
        <v>700</v>
      </c>
      <c r="N74" s="33">
        <f>N73+MAX(0,N73)*((1+'Your paths'!$C$29)^(1/12)-1)+Q74-P74+R74</f>
        <v>1327.87654266784</v>
      </c>
      <c r="O74" s="33">
        <f>(O73-R74)*(1+'Your paths'!$C$30)^(1/12)+M74</f>
        <v>24276.9328848817</v>
      </c>
      <c r="P74" s="33">
        <f>IF(AND(B74='Your paths'!D61,'Your paths'!D36&lt;&gt;"Rent"),'Your paths'!D42+'Your paths'!D65+IF('Your paths'!D36="Rent then buy",'Your paths'!D38,0),0)</f>
        <v>105000</v>
      </c>
      <c r="Q74" s="33">
        <f>K74-SUM(J74,L74,M74)</f>
        <v>1247.77484952471</v>
      </c>
      <c r="R74" s="33">
        <f>IF(P74&gt;0,MIN(MAX(0,P74-N73),MAX(0,O73)),0)</f>
        <v>56500</v>
      </c>
      <c r="S74" s="2">
        <f>IF(P74&gt;0,MAX(0,P74-N73-O73),0)</f>
        <v>0</v>
      </c>
    </row>
    <row r="75" ht="27" customHeight="1">
      <c r="A75" s="3" t="n"/>
      <c r="B75" s="3" t="n">
        <v>2</v>
      </c>
      <c r="C75" s="3">
        <f>IF(B75&gt;='Your paths'!D61,1,0)</f>
        <v>1</v>
      </c>
      <c r="D75" s="33">
        <f>IF(C75=1,0,'Your paths'!D37*(1+'Your paths'!$C$20)^INT((B75-1)/12))</f>
        <v>0</v>
      </c>
      <c r="E75" s="33">
        <f>IF(AND(B75='Your paths'!D61,'Your paths'!D36&lt;&gt;"Rent"),'Your paths'!D63,H74)</f>
        <v>399272.236012781</v>
      </c>
      <c r="F75" s="33">
        <f>IF(C75=1,MIN('Your paths'!D64,E75*(1+'Your paths'!D62)),0)</f>
        <v>2213.89181714195</v>
      </c>
      <c r="G75" s="33">
        <f>E75*'Your paths'!D62</f>
        <v>1483.42395413532</v>
      </c>
      <c r="H75" s="33">
        <f>MAX(0,E75+G75-F75)</f>
        <v>398541.768149774</v>
      </c>
      <c r="I75" s="33">
        <f>IF(C75=0,0,IF(AND(B75='Your paths'!D61,'Your paths'!D36&lt;&gt;"Rent"),'Your paths'!D41,I74)*(1+'Your paths'!$C$31)^(1/12))</f>
        <v>501652.945162319</v>
      </c>
      <c r="J75" s="33">
        <f>(D75+F75+IF(C75=1,('Your paths'!D45/12+'Your paths'!D46+'Your paths'!D47)*(1+'Your paths'!$C$21)^INT((B75-1)/12),0))*'Your paths'!$C$32</f>
        <v>3052.22515047529</v>
      </c>
      <c r="K75" s="33">
        <f>('Your paths'!$C$9+'Your paths'!D49)*(1+'Your paths'!$C$24)^INT((B75-1)/12)</f>
        <v>7000</v>
      </c>
      <c r="L75" s="33">
        <f>('Your paths'!$C$10+'Your paths'!D48)*(1+'Your paths'!$C$21)^INT((B75-1)/12)</f>
        <v>2000</v>
      </c>
      <c r="M75" s="33">
        <f>IF('Your paths'!D39="",'Your paths'!$C$12,'Your paths'!D39)+IF(AND('Your paths'!D55="Yes",C75=1,B75&gt;='Your paths'!D57),'Your paths'!D56,0)</f>
        <v>700</v>
      </c>
      <c r="N75" s="33">
        <f>N74+MAX(0,N74)*((1+'Your paths'!$C$29)^(1/12)-1)+Q75-P75+R75</f>
        <v>2577.84448826168</v>
      </c>
      <c r="O75" s="33">
        <f>(O74-R75)*(1+'Your paths'!$C$30)^(1/12)+M75</f>
        <v>25056.4092458567</v>
      </c>
      <c r="P75" s="33">
        <f>IF(AND(B75='Your paths'!D61,'Your paths'!D36&lt;&gt;"Rent"),'Your paths'!D42+'Your paths'!D65+IF('Your paths'!D36="Rent then buy",'Your paths'!D38,0),0)</f>
        <v>0</v>
      </c>
      <c r="Q75" s="33">
        <f>K75-SUM(J75,L75,M75)</f>
        <v>1247.77484952471</v>
      </c>
      <c r="R75" s="33">
        <f>IF(P75&gt;0,MIN(MAX(0,P75-N74),MAX(0,O74)),0)</f>
        <v>0</v>
      </c>
      <c r="S75" s="2">
        <f>IF(P75&gt;0,MAX(0,P75-N74-O74),0)</f>
        <v>0</v>
      </c>
    </row>
    <row r="76" ht="27" customHeight="1">
      <c r="A76" s="3" t="n"/>
      <c r="B76" s="3" t="n">
        <v>3</v>
      </c>
      <c r="C76" s="3">
        <f>IF(B76&gt;='Your paths'!D61,1,0)</f>
        <v>1</v>
      </c>
      <c r="D76" s="33">
        <f>IF(C76=1,0,'Your paths'!D37*(1+'Your paths'!$C$20)^INT((B76-1)/12))</f>
        <v>0</v>
      </c>
      <c r="E76" s="33">
        <f>IF(AND(B76='Your paths'!D61,'Your paths'!D36&lt;&gt;"Rent"),'Your paths'!D63,H75)</f>
        <v>398541.768149774</v>
      </c>
      <c r="F76" s="33">
        <f>IF(C76=1,MIN('Your paths'!D64,E76*(1+'Your paths'!D62)),0)</f>
        <v>2213.89181714195</v>
      </c>
      <c r="G76" s="33">
        <f>E76*'Your paths'!D62</f>
        <v>1480.71003258513</v>
      </c>
      <c r="H76" s="33">
        <f>MAX(0,E76+G76-F76)</f>
        <v>397808.586365217</v>
      </c>
      <c r="I76" s="33">
        <f>IF(C76=0,0,IF(AND(B76='Your paths'!D61,'Your paths'!D36&lt;&gt;"Rent"),'Your paths'!D41,I75)*(1+'Your paths'!$C$31)^(1/12))</f>
        <v>502481.465786602</v>
      </c>
      <c r="J76" s="33">
        <f>(D76+F76+IF(C76=1,('Your paths'!D45/12+'Your paths'!D46+'Your paths'!D47)*(1+'Your paths'!$C$21)^INT((B76-1)/12),0))*'Your paths'!$C$32</f>
        <v>3052.22515047529</v>
      </c>
      <c r="K76" s="33">
        <f>('Your paths'!$C$9+'Your paths'!D49)*(1+'Your paths'!$C$24)^INT((B76-1)/12)</f>
        <v>7000</v>
      </c>
      <c r="L76" s="33">
        <f>('Your paths'!$C$10+'Your paths'!D48)*(1+'Your paths'!$C$21)^INT((B76-1)/12)</f>
        <v>2000</v>
      </c>
      <c r="M76" s="33">
        <f>IF('Your paths'!D39="",'Your paths'!$C$12,'Your paths'!D39)+IF(AND('Your paths'!D55="Yes",C76=1,B76&gt;='Your paths'!D57),'Your paths'!D56,0)</f>
        <v>700</v>
      </c>
      <c r="N76" s="33">
        <f>N75+MAX(0,N75)*((1+'Your paths'!$C$29)^(1/12)-1)+Q76-P76+R76</f>
        <v>3829.87685754247</v>
      </c>
      <c r="O76" s="33">
        <f>(O75-R76)*(1+'Your paths'!$C$30)^(1/12)+M76</f>
        <v>25838.4374096039</v>
      </c>
      <c r="P76" s="33">
        <f>IF(AND(B76='Your paths'!D61,'Your paths'!D36&lt;&gt;"Rent"),'Your paths'!D42+'Your paths'!D65+IF('Your paths'!D36="Rent then buy",'Your paths'!D38,0),0)</f>
        <v>0</v>
      </c>
      <c r="Q76" s="33">
        <f>K76-SUM(J76,L76,M76)</f>
        <v>1247.77484952471</v>
      </c>
      <c r="R76" s="33">
        <f>IF(P76&gt;0,MIN(MAX(0,P76-N75),MAX(0,O75)),0)</f>
        <v>0</v>
      </c>
      <c r="S76" s="2">
        <f>IF(P76&gt;0,MAX(0,P76-N75-O75),0)</f>
        <v>0</v>
      </c>
    </row>
    <row r="77" ht="27" customHeight="1">
      <c r="A77" s="3" t="n"/>
      <c r="B77" s="3" t="n">
        <v>4</v>
      </c>
      <c r="C77" s="3">
        <f>IF(B77&gt;='Your paths'!D61,1,0)</f>
        <v>1</v>
      </c>
      <c r="D77" s="33">
        <f>IF(C77=1,0,'Your paths'!D37*(1+'Your paths'!$C$20)^INT((B77-1)/12))</f>
        <v>0</v>
      </c>
      <c r="E77" s="33">
        <f>IF(AND(B77='Your paths'!D61,'Your paths'!D36&lt;&gt;"Rent"),'Your paths'!D63,H76)</f>
        <v>397808.586365217</v>
      </c>
      <c r="F77" s="33">
        <f>IF(C77=1,MIN('Your paths'!D64,E77*(1+'Your paths'!D62)),0)</f>
        <v>2213.89181714195</v>
      </c>
      <c r="G77" s="33">
        <f>E77*'Your paths'!D62</f>
        <v>1477.98602794907</v>
      </c>
      <c r="H77" s="33">
        <f>MAX(0,E77+G77-F77)</f>
        <v>397072.680576025</v>
      </c>
      <c r="I77" s="33">
        <f>IF(C77=0,0,IF(AND(B77='Your paths'!D61,'Your paths'!D36&lt;&gt;"Rent"),'Your paths'!D41,I76)*(1+'Your paths'!$C$31)^(1/12))</f>
        <v>503311.354780057</v>
      </c>
      <c r="J77" s="33">
        <f>(D77+F77+IF(C77=1,('Your paths'!D45/12+'Your paths'!D46+'Your paths'!D47)*(1+'Your paths'!$C$21)^INT((B77-1)/12),0))*'Your paths'!$C$32</f>
        <v>3052.22515047529</v>
      </c>
      <c r="K77" s="33">
        <f>('Your paths'!$C$9+'Your paths'!D49)*(1+'Your paths'!$C$24)^INT((B77-1)/12)</f>
        <v>7000</v>
      </c>
      <c r="L77" s="33">
        <f>('Your paths'!$C$10+'Your paths'!D48)*(1+'Your paths'!$C$21)^INT((B77-1)/12)</f>
        <v>2000</v>
      </c>
      <c r="M77" s="33">
        <f>IF('Your paths'!D39="",'Your paths'!$C$12,'Your paths'!D39)+IF(AND('Your paths'!D55="Yes",C77=1,B77&gt;='Your paths'!D57),'Your paths'!D56,0)</f>
        <v>700</v>
      </c>
      <c r="N77" s="33">
        <f>N76+MAX(0,N76)*((1+'Your paths'!$C$29)^(1/12)-1)+Q77-P77+R77</f>
        <v>5083.97706007376</v>
      </c>
      <c r="O77" s="33">
        <f>(O76-R77)*(1+'Your paths'!$C$30)^(1/12)+M77</f>
        <v>26623.0257300616</v>
      </c>
      <c r="P77" s="33">
        <f>IF(AND(B77='Your paths'!D61,'Your paths'!D36&lt;&gt;"Rent"),'Your paths'!D42+'Your paths'!D65+IF('Your paths'!D36="Rent then buy",'Your paths'!D38,0),0)</f>
        <v>0</v>
      </c>
      <c r="Q77" s="33">
        <f>K77-SUM(J77,L77,M77)</f>
        <v>1247.77484952471</v>
      </c>
      <c r="R77" s="33">
        <f>IF(P77&gt;0,MIN(MAX(0,P77-N76),MAX(0,O76)),0)</f>
        <v>0</v>
      </c>
      <c r="S77" s="2">
        <f>IF(P77&gt;0,MAX(0,P77-N76-O76),0)</f>
        <v>0</v>
      </c>
    </row>
    <row r="78" ht="27" customHeight="1">
      <c r="A78" s="3" t="n"/>
      <c r="B78" s="3" t="n">
        <v>5</v>
      </c>
      <c r="C78" s="3">
        <f>IF(B78&gt;='Your paths'!D61,1,0)</f>
        <v>1</v>
      </c>
      <c r="D78" s="33">
        <f>IF(C78=1,0,'Your paths'!D37*(1+'Your paths'!$C$20)^INT((B78-1)/12))</f>
        <v>0</v>
      </c>
      <c r="E78" s="33">
        <f>IF(AND(B78='Your paths'!D61,'Your paths'!D36&lt;&gt;"Rent"),'Your paths'!D63,H77)</f>
        <v>397072.680576025</v>
      </c>
      <c r="F78" s="33">
        <f>IF(C78=1,MIN('Your paths'!D64,E78*(1+'Your paths'!D62)),0)</f>
        <v>2213.89181714195</v>
      </c>
      <c r="G78" s="33">
        <f>E78*'Your paths'!D62</f>
        <v>1475.25190276527</v>
      </c>
      <c r="H78" s="33">
        <f>MAX(0,E78+G78-F78)</f>
        <v>396334.040661648</v>
      </c>
      <c r="I78" s="33">
        <f>IF(C78=0,0,IF(AND(B78='Your paths'!D61,'Your paths'!D36&lt;&gt;"Rent"),'Your paths'!D41,I77)*(1+'Your paths'!$C$31)^(1/12))</f>
        <v>504142.614402655</v>
      </c>
      <c r="J78" s="33">
        <f>(D78+F78+IF(C78=1,('Your paths'!D45/12+'Your paths'!D46+'Your paths'!D47)*(1+'Your paths'!$C$21)^INT((B78-1)/12),0))*'Your paths'!$C$32</f>
        <v>3052.22515047529</v>
      </c>
      <c r="K78" s="33">
        <f>('Your paths'!$C$9+'Your paths'!D49)*(1+'Your paths'!$C$24)^INT((B78-1)/12)</f>
        <v>7000</v>
      </c>
      <c r="L78" s="33">
        <f>('Your paths'!$C$10+'Your paths'!D48)*(1+'Your paths'!$C$21)^INT((B78-1)/12)</f>
        <v>2000</v>
      </c>
      <c r="M78" s="33">
        <f>IF('Your paths'!D39="",'Your paths'!$C$12,'Your paths'!D39)+IF(AND('Your paths'!D55="Yes",C78=1,B78&gt;='Your paths'!D57),'Your paths'!D56,0)</f>
        <v>700</v>
      </c>
      <c r="N78" s="33">
        <f>N77+MAX(0,N77)*((1+'Your paths'!$C$29)^(1/12)-1)+Q78-P78+R78</f>
        <v>6340.14851105028</v>
      </c>
      <c r="O78" s="33">
        <f>(O77-R78)*(1+'Your paths'!$C$30)^(1/12)+M78</f>
        <v>27410.1825885166</v>
      </c>
      <c r="P78" s="33">
        <f>IF(AND(B78='Your paths'!D61,'Your paths'!D36&lt;&gt;"Rent"),'Your paths'!D42+'Your paths'!D65+IF('Your paths'!D36="Rent then buy",'Your paths'!D38,0),0)</f>
        <v>0</v>
      </c>
      <c r="Q78" s="33">
        <f>K78-SUM(J78,L78,M78)</f>
        <v>1247.77484952471</v>
      </c>
      <c r="R78" s="33">
        <f>IF(P78&gt;0,MIN(MAX(0,P78-N77),MAX(0,O77)),0)</f>
        <v>0</v>
      </c>
      <c r="S78" s="2">
        <f>IF(P78&gt;0,MAX(0,P78-N77-O77),0)</f>
        <v>0</v>
      </c>
    </row>
    <row r="79" ht="27" customHeight="1">
      <c r="A79" s="3" t="n"/>
      <c r="B79" s="3" t="n">
        <v>6</v>
      </c>
      <c r="C79" s="3">
        <f>IF(B79&gt;='Your paths'!D61,1,0)</f>
        <v>1</v>
      </c>
      <c r="D79" s="33">
        <f>IF(C79=1,0,'Your paths'!D37*(1+'Your paths'!$C$20)^INT((B79-1)/12))</f>
        <v>0</v>
      </c>
      <c r="E79" s="33">
        <f>IF(AND(B79='Your paths'!D61,'Your paths'!D36&lt;&gt;"Rent"),'Your paths'!D63,H78)</f>
        <v>396334.040661648</v>
      </c>
      <c r="F79" s="33">
        <f>IF(C79=1,MIN('Your paths'!D64,E79*(1+'Your paths'!D62)),0)</f>
        <v>2213.89181714195</v>
      </c>
      <c r="G79" s="33">
        <f>E79*'Your paths'!D62</f>
        <v>1472.50761943265</v>
      </c>
      <c r="H79" s="33">
        <f>MAX(0,E79+G79-F79)</f>
        <v>395592.656463939</v>
      </c>
      <c r="I79" s="33">
        <f>IF(C79=0,0,IF(AND(B79='Your paths'!D61,'Your paths'!D36&lt;&gt;"Rent"),'Your paths'!D41,I78)*(1+'Your paths'!$C$31)^(1/12))</f>
        <v>504975.246918104</v>
      </c>
      <c r="J79" s="33">
        <f>(D79+F79+IF(C79=1,('Your paths'!D45/12+'Your paths'!D46+'Your paths'!D47)*(1+'Your paths'!$C$21)^INT((B79-1)/12),0))*'Your paths'!$C$32</f>
        <v>3052.22515047529</v>
      </c>
      <c r="K79" s="33">
        <f>('Your paths'!$C$9+'Your paths'!D49)*(1+'Your paths'!$C$24)^INT((B79-1)/12)</f>
        <v>7000</v>
      </c>
      <c r="L79" s="33">
        <f>('Your paths'!$C$10+'Your paths'!D48)*(1+'Your paths'!$C$21)^INT((B79-1)/12)</f>
        <v>2000</v>
      </c>
      <c r="M79" s="33">
        <f>IF('Your paths'!D39="",'Your paths'!$C$12,'Your paths'!D39)+IF(AND('Your paths'!D55="Yes",C79=1,B79&gt;='Your paths'!D57),'Your paths'!D56,0)</f>
        <v>700</v>
      </c>
      <c r="N79" s="33">
        <f>N78+MAX(0,N78)*((1+'Your paths'!$C$29)^(1/12)-1)+Q79-P79+R79</f>
        <v>7598.39463130724</v>
      </c>
      <c r="O79" s="33">
        <f>(O78-R79)*(1+'Your paths'!$C$30)^(1/12)+M79</f>
        <v>28199.916393694</v>
      </c>
      <c r="P79" s="33">
        <f>IF(AND(B79='Your paths'!D61,'Your paths'!D36&lt;&gt;"Rent"),'Your paths'!D42+'Your paths'!D65+IF('Your paths'!D36="Rent then buy",'Your paths'!D38,0),0)</f>
        <v>0</v>
      </c>
      <c r="Q79" s="33">
        <f>K79-SUM(J79,L79,M79)</f>
        <v>1247.77484952471</v>
      </c>
      <c r="R79" s="33">
        <f>IF(P79&gt;0,MIN(MAX(0,P79-N78),MAX(0,O78)),0)</f>
        <v>0</v>
      </c>
      <c r="S79" s="2">
        <f>IF(P79&gt;0,MAX(0,P79-N78-O78),0)</f>
        <v>0</v>
      </c>
    </row>
    <row r="80" ht="27" customHeight="1">
      <c r="A80" s="3" t="n"/>
      <c r="B80" s="3" t="n">
        <v>7</v>
      </c>
      <c r="C80" s="3">
        <f>IF(B80&gt;='Your paths'!D61,1,0)</f>
        <v>1</v>
      </c>
      <c r="D80" s="33">
        <f>IF(C80=1,0,'Your paths'!D37*(1+'Your paths'!$C$20)^INT((B80-1)/12))</f>
        <v>0</v>
      </c>
      <c r="E80" s="33">
        <f>IF(AND(B80='Your paths'!D61,'Your paths'!D36&lt;&gt;"Rent"),'Your paths'!D63,H79)</f>
        <v>395592.656463939</v>
      </c>
      <c r="F80" s="33">
        <f>IF(C80=1,MIN('Your paths'!D64,E80*(1+'Your paths'!D62)),0)</f>
        <v>2213.89181714195</v>
      </c>
      <c r="G80" s="33">
        <f>E80*'Your paths'!D62</f>
        <v>1469.75314021045</v>
      </c>
      <c r="H80" s="33">
        <f>MAX(0,E80+G80-F80)</f>
        <v>394848.517787007</v>
      </c>
      <c r="I80" s="33">
        <f>IF(C80=0,0,IF(AND(B80='Your paths'!D61,'Your paths'!D36&lt;&gt;"Rent"),'Your paths'!D41,I79)*(1+'Your paths'!$C$31)^(1/12))</f>
        <v>505809.254593847</v>
      </c>
      <c r="J80" s="33">
        <f>(D80+F80+IF(C80=1,('Your paths'!D45/12+'Your paths'!D46+'Your paths'!D47)*(1+'Your paths'!$C$21)^INT((B80-1)/12),0))*'Your paths'!$C$32</f>
        <v>3052.22515047529</v>
      </c>
      <c r="K80" s="33">
        <f>('Your paths'!$C$9+'Your paths'!D49)*(1+'Your paths'!$C$24)^INT((B80-1)/12)</f>
        <v>7000</v>
      </c>
      <c r="L80" s="33">
        <f>('Your paths'!$C$10+'Your paths'!D48)*(1+'Your paths'!$C$21)^INT((B80-1)/12)</f>
        <v>2000</v>
      </c>
      <c r="M80" s="33">
        <f>IF('Your paths'!D39="",'Your paths'!$C$12,'Your paths'!D39)+IF(AND('Your paths'!D55="Yes",C80=1,B80&gt;='Your paths'!D57),'Your paths'!D56,0)</f>
        <v>700</v>
      </c>
      <c r="N80" s="33">
        <f>N79+MAX(0,N79)*((1+'Your paths'!$C$29)^(1/12)-1)+Q80-P80+R80</f>
        <v>8858.71884732963</v>
      </c>
      <c r="O80" s="33">
        <f>(O79-R80)*(1+'Your paths'!$C$30)^(1/12)+M80</f>
        <v>28992.2355818467</v>
      </c>
      <c r="P80" s="33">
        <f>IF(AND(B80='Your paths'!D61,'Your paths'!D36&lt;&gt;"Rent"),'Your paths'!D42+'Your paths'!D65+IF('Your paths'!D36="Rent then buy",'Your paths'!D38,0),0)</f>
        <v>0</v>
      </c>
      <c r="Q80" s="33">
        <f>K80-SUM(J80,L80,M80)</f>
        <v>1247.77484952471</v>
      </c>
      <c r="R80" s="33">
        <f>IF(P80&gt;0,MIN(MAX(0,P80-N79),MAX(0,O79)),0)</f>
        <v>0</v>
      </c>
      <c r="S80" s="2">
        <f>IF(P80&gt;0,MAX(0,P80-N79-O79),0)</f>
        <v>0</v>
      </c>
    </row>
    <row r="81" ht="27" customHeight="1">
      <c r="A81" s="3" t="n"/>
      <c r="B81" s="3" t="n">
        <v>8</v>
      </c>
      <c r="C81" s="3">
        <f>IF(B81&gt;='Your paths'!D61,1,0)</f>
        <v>1</v>
      </c>
      <c r="D81" s="33">
        <f>IF(C81=1,0,'Your paths'!D37*(1+'Your paths'!$C$20)^INT((B81-1)/12))</f>
        <v>0</v>
      </c>
      <c r="E81" s="33">
        <f>IF(AND(B81='Your paths'!D61,'Your paths'!D36&lt;&gt;"Rent"),'Your paths'!D63,H80)</f>
        <v>394848.517787007</v>
      </c>
      <c r="F81" s="33">
        <f>IF(C81=1,MIN('Your paths'!D64,E81*(1+'Your paths'!D62)),0)</f>
        <v>2213.89181714195</v>
      </c>
      <c r="G81" s="33">
        <f>E81*'Your paths'!D62</f>
        <v>1466.98842721767</v>
      </c>
      <c r="H81" s="33">
        <f>MAX(0,E81+G81-F81)</f>
        <v>394101.614397083</v>
      </c>
      <c r="I81" s="33">
        <f>IF(C81=0,0,IF(AND(B81='Your paths'!D61,'Your paths'!D36&lt;&gt;"Rent"),'Your paths'!D41,I80)*(1+'Your paths'!$C$31)^(1/12))</f>
        <v>506644.639701072</v>
      </c>
      <c r="J81" s="33">
        <f>(D81+F81+IF(C81=1,('Your paths'!D45/12+'Your paths'!D46+'Your paths'!D47)*(1+'Your paths'!$C$21)^INT((B81-1)/12),0))*'Your paths'!$C$32</f>
        <v>3052.22515047529</v>
      </c>
      <c r="K81" s="33">
        <f>('Your paths'!$C$9+'Your paths'!D49)*(1+'Your paths'!$C$24)^INT((B81-1)/12)</f>
        <v>7000</v>
      </c>
      <c r="L81" s="33">
        <f>('Your paths'!$C$10+'Your paths'!D48)*(1+'Your paths'!$C$21)^INT((B81-1)/12)</f>
        <v>2000</v>
      </c>
      <c r="M81" s="33">
        <f>IF('Your paths'!D39="",'Your paths'!$C$12,'Your paths'!D39)+IF(AND('Your paths'!D55="Yes",C81=1,B81&gt;='Your paths'!D57),'Your paths'!D56,0)</f>
        <v>700</v>
      </c>
      <c r="N81" s="33">
        <f>N80+MAX(0,N80)*((1+'Your paths'!$C$29)^(1/12)-1)+Q81-P81+R81</f>
        <v>10121.1245912616</v>
      </c>
      <c r="O81" s="33">
        <f>(O80-R81)*(1+'Your paths'!$C$30)^(1/12)+M81</f>
        <v>29787.1486168458</v>
      </c>
      <c r="P81" s="33">
        <f>IF(AND(B81='Your paths'!D61,'Your paths'!D36&lt;&gt;"Rent"),'Your paths'!D42+'Your paths'!D65+IF('Your paths'!D36="Rent then buy",'Your paths'!D38,0),0)</f>
        <v>0</v>
      </c>
      <c r="Q81" s="33">
        <f>K81-SUM(J81,L81,M81)</f>
        <v>1247.77484952471</v>
      </c>
      <c r="R81" s="33">
        <f>IF(P81&gt;0,MIN(MAX(0,P81-N80),MAX(0,O80)),0)</f>
        <v>0</v>
      </c>
      <c r="S81" s="2">
        <f>IF(P81&gt;0,MAX(0,P81-N80-O80),0)</f>
        <v>0</v>
      </c>
    </row>
    <row r="82" ht="27" customHeight="1">
      <c r="A82" s="3" t="n"/>
      <c r="B82" s="3" t="n">
        <v>9</v>
      </c>
      <c r="C82" s="3">
        <f>IF(B82&gt;='Your paths'!D61,1,0)</f>
        <v>1</v>
      </c>
      <c r="D82" s="33">
        <f>IF(C82=1,0,'Your paths'!D37*(1+'Your paths'!$C$20)^INT((B82-1)/12))</f>
        <v>0</v>
      </c>
      <c r="E82" s="33">
        <f>IF(AND(B82='Your paths'!D61,'Your paths'!D36&lt;&gt;"Rent"),'Your paths'!D63,H81)</f>
        <v>394101.614397083</v>
      </c>
      <c r="F82" s="33">
        <f>IF(C82=1,MIN('Your paths'!D64,E82*(1+'Your paths'!D62)),0)</f>
        <v>2213.89181714195</v>
      </c>
      <c r="G82" s="33">
        <f>E82*'Your paths'!D62</f>
        <v>1464.2134424326</v>
      </c>
      <c r="H82" s="33">
        <f>MAX(0,E82+G82-F82)</f>
        <v>393351.936022373</v>
      </c>
      <c r="I82" s="33">
        <f>IF(C82=0,0,IF(AND(B82='Your paths'!D61,'Your paths'!D36&lt;&gt;"Rent"),'Your paths'!D41,I81)*(1+'Your paths'!$C$31)^(1/12))</f>
        <v>507481.40451472</v>
      </c>
      <c r="J82" s="33">
        <f>(D82+F82+IF(C82=1,('Your paths'!D45/12+'Your paths'!D46+'Your paths'!D47)*(1+'Your paths'!$C$21)^INT((B82-1)/12),0))*'Your paths'!$C$32</f>
        <v>3052.22515047529</v>
      </c>
      <c r="K82" s="33">
        <f>('Your paths'!$C$9+'Your paths'!D49)*(1+'Your paths'!$C$24)^INT((B82-1)/12)</f>
        <v>7000</v>
      </c>
      <c r="L82" s="33">
        <f>('Your paths'!$C$10+'Your paths'!D48)*(1+'Your paths'!$C$21)^INT((B82-1)/12)</f>
        <v>2000</v>
      </c>
      <c r="M82" s="33">
        <f>IF('Your paths'!D39="",'Your paths'!$C$12,'Your paths'!D39)+IF(AND('Your paths'!D55="Yes",C82=1,B82&gt;='Your paths'!D57),'Your paths'!D56,0)</f>
        <v>700</v>
      </c>
      <c r="N82" s="33">
        <f>N81+MAX(0,N81)*((1+'Your paths'!$C$29)^(1/12)-1)+Q82-P82+R82</f>
        <v>11385.6153009156</v>
      </c>
      <c r="O82" s="33">
        <f>(O81-R82)*(1+'Your paths'!$C$30)^(1/12)+M82</f>
        <v>30584.6639902711</v>
      </c>
      <c r="P82" s="33">
        <f>IF(AND(B82='Your paths'!D61,'Your paths'!D36&lt;&gt;"Rent"),'Your paths'!D42+'Your paths'!D65+IF('Your paths'!D36="Rent then buy",'Your paths'!D38,0),0)</f>
        <v>0</v>
      </c>
      <c r="Q82" s="33">
        <f>K82-SUM(J82,L82,M82)</f>
        <v>1247.77484952471</v>
      </c>
      <c r="R82" s="33">
        <f>IF(P82&gt;0,MIN(MAX(0,P82-N81),MAX(0,O81)),0)</f>
        <v>0</v>
      </c>
      <c r="S82" s="2">
        <f>IF(P82&gt;0,MAX(0,P82-N81-O81),0)</f>
        <v>0</v>
      </c>
    </row>
    <row r="83" ht="27" customHeight="1">
      <c r="A83" s="3" t="n"/>
      <c r="B83" s="3" t="n">
        <v>10</v>
      </c>
      <c r="C83" s="3">
        <f>IF(B83&gt;='Your paths'!D61,1,0)</f>
        <v>1</v>
      </c>
      <c r="D83" s="33">
        <f>IF(C83=1,0,'Your paths'!D37*(1+'Your paths'!$C$20)^INT((B83-1)/12))</f>
        <v>0</v>
      </c>
      <c r="E83" s="33">
        <f>IF(AND(B83='Your paths'!D61,'Your paths'!D36&lt;&gt;"Rent"),'Your paths'!D63,H82)</f>
        <v>393351.936022373</v>
      </c>
      <c r="F83" s="33">
        <f>IF(C83=1,MIN('Your paths'!D64,E83*(1+'Your paths'!D62)),0)</f>
        <v>2213.89181714195</v>
      </c>
      <c r="G83" s="33">
        <f>E83*'Your paths'!D62</f>
        <v>1461.42814769223</v>
      </c>
      <c r="H83" s="33">
        <f>MAX(0,E83+G83-F83)</f>
        <v>392599.472352924</v>
      </c>
      <c r="I83" s="33">
        <f>IF(C83=0,0,IF(AND(B83='Your paths'!D61,'Your paths'!D36&lt;&gt;"Rent"),'Your paths'!D41,I82)*(1+'Your paths'!$C$31)^(1/12))</f>
        <v>508319.551313489</v>
      </c>
      <c r="J83" s="33">
        <f>(D83+F83+IF(C83=1,('Your paths'!D45/12+'Your paths'!D46+'Your paths'!D47)*(1+'Your paths'!$C$21)^INT((B83-1)/12),0))*'Your paths'!$C$32</f>
        <v>3052.22515047529</v>
      </c>
      <c r="K83" s="33">
        <f>('Your paths'!$C$9+'Your paths'!D49)*(1+'Your paths'!$C$24)^INT((B83-1)/12)</f>
        <v>7000</v>
      </c>
      <c r="L83" s="33">
        <f>('Your paths'!$C$10+'Your paths'!D48)*(1+'Your paths'!$C$21)^INT((B83-1)/12)</f>
        <v>2000</v>
      </c>
      <c r="M83" s="33">
        <f>IF('Your paths'!D39="",'Your paths'!$C$12,'Your paths'!D39)+IF(AND('Your paths'!D55="Yes",C83=1,B83&gt;='Your paths'!D57),'Your paths'!D56,0)</f>
        <v>700</v>
      </c>
      <c r="N83" s="33">
        <f>N82+MAX(0,N82)*((1+'Your paths'!$C$29)^(1/12)-1)+Q83-P83+R83</f>
        <v>12652.1944197822</v>
      </c>
      <c r="O83" s="33">
        <f>(O82-R83)*(1+'Your paths'!$C$30)^(1/12)+M83</f>
        <v>31384.7902215012</v>
      </c>
      <c r="P83" s="33">
        <f>IF(AND(B83='Your paths'!D61,'Your paths'!D36&lt;&gt;"Rent"),'Your paths'!D42+'Your paths'!D65+IF('Your paths'!D36="Rent then buy",'Your paths'!D38,0),0)</f>
        <v>0</v>
      </c>
      <c r="Q83" s="33">
        <f>K83-SUM(J83,L83,M83)</f>
        <v>1247.77484952471</v>
      </c>
      <c r="R83" s="33">
        <f>IF(P83&gt;0,MIN(MAX(0,P83-N82),MAX(0,O82)),0)</f>
        <v>0</v>
      </c>
      <c r="S83" s="2">
        <f>IF(P83&gt;0,MAX(0,P83-N82-O82),0)</f>
        <v>0</v>
      </c>
    </row>
    <row r="84" ht="27" customHeight="1">
      <c r="A84" s="3" t="n"/>
      <c r="B84" s="3" t="n">
        <v>11</v>
      </c>
      <c r="C84" s="3">
        <f>IF(B84&gt;='Your paths'!D61,1,0)</f>
        <v>1</v>
      </c>
      <c r="D84" s="33">
        <f>IF(C84=1,0,'Your paths'!D37*(1+'Your paths'!$C$20)^INT((B84-1)/12))</f>
        <v>0</v>
      </c>
      <c r="E84" s="33">
        <f>IF(AND(B84='Your paths'!D61,'Your paths'!D36&lt;&gt;"Rent"),'Your paths'!D63,H83)</f>
        <v>392599.472352924</v>
      </c>
      <c r="F84" s="33">
        <f>IF(C84=1,MIN('Your paths'!D64,E84*(1+'Your paths'!D62)),0)</f>
        <v>2213.89181714195</v>
      </c>
      <c r="G84" s="33">
        <f>E84*'Your paths'!D62</f>
        <v>1458.63250469179</v>
      </c>
      <c r="H84" s="33">
        <f>MAX(0,E84+G84-F84)</f>
        <v>391844.213040473</v>
      </c>
      <c r="I84" s="33">
        <f>IF(C84=0,0,IF(AND(B84='Your paths'!D61,'Your paths'!D36&lt;&gt;"Rent"),'Your paths'!D41,I83)*(1+'Your paths'!$C$31)^(1/12))</f>
        <v>509159.082379839</v>
      </c>
      <c r="J84" s="33">
        <f>(D84+F84+IF(C84=1,('Your paths'!D45/12+'Your paths'!D46+'Your paths'!D47)*(1+'Your paths'!$C$21)^INT((B84-1)/12),0))*'Your paths'!$C$32</f>
        <v>3052.22515047529</v>
      </c>
      <c r="K84" s="33">
        <f>('Your paths'!$C$9+'Your paths'!D49)*(1+'Your paths'!$C$24)^INT((B84-1)/12)</f>
        <v>7000</v>
      </c>
      <c r="L84" s="33">
        <f>('Your paths'!$C$10+'Your paths'!D48)*(1+'Your paths'!$C$21)^INT((B84-1)/12)</f>
        <v>2000</v>
      </c>
      <c r="M84" s="33">
        <f>IF('Your paths'!D39="",'Your paths'!$C$12,'Your paths'!D39)+IF(AND('Your paths'!D55="Yes",C84=1,B84&gt;='Your paths'!D57),'Your paths'!D56,0)</f>
        <v>700</v>
      </c>
      <c r="N84" s="33">
        <f>N83+MAX(0,N83)*((1+'Your paths'!$C$29)^(1/12)-1)+Q84-P84+R84</f>
        <v>13920.8653970388</v>
      </c>
      <c r="O84" s="33">
        <f>(O83-R84)*(1+'Your paths'!$C$30)^(1/12)+M84</f>
        <v>32187.5358578053</v>
      </c>
      <c r="P84" s="33">
        <f>IF(AND(B84='Your paths'!D61,'Your paths'!D36&lt;&gt;"Rent"),'Your paths'!D42+'Your paths'!D65+IF('Your paths'!D36="Rent then buy",'Your paths'!D38,0),0)</f>
        <v>0</v>
      </c>
      <c r="Q84" s="33">
        <f>K84-SUM(J84,L84,M84)</f>
        <v>1247.77484952471</v>
      </c>
      <c r="R84" s="33">
        <f>IF(P84&gt;0,MIN(MAX(0,P84-N83),MAX(0,O83)),0)</f>
        <v>0</v>
      </c>
      <c r="S84" s="2">
        <f>IF(P84&gt;0,MAX(0,P84-N83-O83),0)</f>
        <v>0</v>
      </c>
    </row>
    <row r="85" ht="27" customHeight="1">
      <c r="A85" s="3" t="n"/>
      <c r="B85" s="3" t="n">
        <v>12</v>
      </c>
      <c r="C85" s="3">
        <f>IF(B85&gt;='Your paths'!D61,1,0)</f>
        <v>1</v>
      </c>
      <c r="D85" s="33">
        <f>IF(C85=1,0,'Your paths'!D37*(1+'Your paths'!$C$20)^INT((B85-1)/12))</f>
        <v>0</v>
      </c>
      <c r="E85" s="33">
        <f>IF(AND(B85='Your paths'!D61,'Your paths'!D36&lt;&gt;"Rent"),'Your paths'!D63,H84)</f>
        <v>391844.213040473</v>
      </c>
      <c r="F85" s="33">
        <f>IF(C85=1,MIN('Your paths'!D64,E85*(1+'Your paths'!D62)),0)</f>
        <v>2213.89181714195</v>
      </c>
      <c r="G85" s="33">
        <f>E85*'Your paths'!D62</f>
        <v>1455.82647498419</v>
      </c>
      <c r="H85" s="33">
        <f>MAX(0,E85+G85-F85)</f>
        <v>391086.147698316</v>
      </c>
      <c r="I85" s="33">
        <f>IF(C85=0,0,IF(AND(B85='Your paths'!D61,'Your paths'!D36&lt;&gt;"Rent"),'Your paths'!D41,I84)*(1+'Your paths'!$C$31)^(1/12))</f>
        <v>510000</v>
      </c>
      <c r="J85" s="33">
        <f>(D85+F85+IF(C85=1,('Your paths'!D45/12+'Your paths'!D46+'Your paths'!D47)*(1+'Your paths'!$C$21)^INT((B85-1)/12),0))*'Your paths'!$C$32</f>
        <v>3052.22515047529</v>
      </c>
      <c r="K85" s="33">
        <f>('Your paths'!$C$9+'Your paths'!D49)*(1+'Your paths'!$C$24)^INT((B85-1)/12)</f>
        <v>7000</v>
      </c>
      <c r="L85" s="33">
        <f>('Your paths'!$C$10+'Your paths'!D48)*(1+'Your paths'!$C$21)^INT((B85-1)/12)</f>
        <v>2000</v>
      </c>
      <c r="M85" s="33">
        <f>IF('Your paths'!D39="",'Your paths'!$C$12,'Your paths'!D39)+IF(AND('Your paths'!D55="Yes",C85=1,B85&gt;='Your paths'!D57),'Your paths'!D56,0)</f>
        <v>700</v>
      </c>
      <c r="N85" s="33">
        <f>N84+MAX(0,N84)*((1+'Your paths'!$C$29)^(1/12)-1)+Q85-P85+R85</f>
        <v>15191.6316875599</v>
      </c>
      <c r="O85" s="33">
        <f>(O84-R85)*(1+'Your paths'!$C$30)^(1/12)+M85</f>
        <v>32992.909474434</v>
      </c>
      <c r="P85" s="33">
        <f>IF(AND(B85='Your paths'!D61,'Your paths'!D36&lt;&gt;"Rent"),'Your paths'!D42+'Your paths'!D65+IF('Your paths'!D36="Rent then buy",'Your paths'!D38,0),0)</f>
        <v>0</v>
      </c>
      <c r="Q85" s="33">
        <f>K85-SUM(J85,L85,M85)</f>
        <v>1247.77484952471</v>
      </c>
      <c r="R85" s="33">
        <f>IF(P85&gt;0,MIN(MAX(0,P85-N84),MAX(0,O84)),0)</f>
        <v>0</v>
      </c>
      <c r="S85" s="2">
        <f>IF(P85&gt;0,MAX(0,P85-N84-O84),0)</f>
        <v>0</v>
      </c>
    </row>
    <row r="86" ht="27" customHeight="1">
      <c r="A86" s="3" t="n"/>
      <c r="B86" s="3" t="n">
        <v>13</v>
      </c>
      <c r="C86" s="3">
        <f>IF(B86&gt;='Your paths'!D61,1,0)</f>
        <v>1</v>
      </c>
      <c r="D86" s="33">
        <f>IF(C86=1,0,'Your paths'!D37*(1+'Your paths'!$C$20)^INT((B86-1)/12))</f>
        <v>0</v>
      </c>
      <c r="E86" s="33">
        <f>IF(AND(B86='Your paths'!D61,'Your paths'!D36&lt;&gt;"Rent"),'Your paths'!D63,H85)</f>
        <v>391086.147698316</v>
      </c>
      <c r="F86" s="33">
        <f>IF(C86=1,MIN('Your paths'!D64,E86*(1+'Your paths'!D62)),0)</f>
        <v>2213.89181714195</v>
      </c>
      <c r="G86" s="33">
        <f>E86*'Your paths'!D62</f>
        <v>1453.01001997949</v>
      </c>
      <c r="H86" s="33">
        <f>MAX(0,E86+G86-F86)</f>
        <v>390325.265901153</v>
      </c>
      <c r="I86" s="33">
        <f>IF(C86=0,0,IF(AND(B86='Your paths'!D61,'Your paths'!D36&lt;&gt;"Rent"),'Your paths'!D41,I85)*(1+'Your paths'!$C$31)^(1/12))</f>
        <v>510842.30646398</v>
      </c>
      <c r="J86" s="33">
        <f>(D86+F86+IF(C86=1,('Your paths'!D45/12+'Your paths'!D46+'Your paths'!D47)*(1+'Your paths'!$C$21)^INT((B86-1)/12),0))*'Your paths'!$C$32</f>
        <v>3068.99181714195</v>
      </c>
      <c r="K86" s="33">
        <f>('Your paths'!$C$9+'Your paths'!D49)*(1+'Your paths'!$C$24)^INT((B86-1)/12)</f>
        <v>7140</v>
      </c>
      <c r="L86" s="33">
        <f>('Your paths'!$C$10+'Your paths'!D48)*(1+'Your paths'!$C$21)^INT((B86-1)/12)</f>
        <v>2040</v>
      </c>
      <c r="M86" s="33">
        <f>IF('Your paths'!D39="",'Your paths'!$C$12,'Your paths'!D39)+IF(AND('Your paths'!D55="Yes",C86=1,B86&gt;='Your paths'!D57),'Your paths'!D56,0)</f>
        <v>700</v>
      </c>
      <c r="N86" s="33">
        <f>N85+MAX(0,N85)*((1+'Your paths'!$C$29)^(1/12)-1)+Q86-P86+R86</f>
        <v>16547.7300852587</v>
      </c>
      <c r="O86" s="33">
        <f>(O85-R86)*(1+'Your paths'!$C$30)^(1/12)+M86</f>
        <v>33800.9196747109</v>
      </c>
      <c r="P86" s="33">
        <f>IF(AND(B86='Your paths'!D61,'Your paths'!D36&lt;&gt;"Rent"),'Your paths'!D42+'Your paths'!D65+IF('Your paths'!D36="Rent then buy",'Your paths'!D38,0),0)</f>
        <v>0</v>
      </c>
      <c r="Q86" s="33">
        <f>K86-SUM(J86,L86,M86)</f>
        <v>1331.00818285805</v>
      </c>
      <c r="R86" s="33">
        <f>IF(P86&gt;0,MIN(MAX(0,P86-N85),MAX(0,O85)),0)</f>
        <v>0</v>
      </c>
      <c r="S86" s="2">
        <f>IF(P86&gt;0,MAX(0,P86-N85-O85),0)</f>
        <v>0</v>
      </c>
    </row>
    <row r="87" ht="27" customHeight="1">
      <c r="A87" s="3" t="n"/>
      <c r="B87" s="3" t="n">
        <v>14</v>
      </c>
      <c r="C87" s="3">
        <f>IF(B87&gt;='Your paths'!D61,1,0)</f>
        <v>1</v>
      </c>
      <c r="D87" s="33">
        <f>IF(C87=1,0,'Your paths'!D37*(1+'Your paths'!$C$20)^INT((B87-1)/12))</f>
        <v>0</v>
      </c>
      <c r="E87" s="33">
        <f>IF(AND(B87='Your paths'!D61,'Your paths'!D36&lt;&gt;"Rent"),'Your paths'!D63,H86)</f>
        <v>390325.265901153</v>
      </c>
      <c r="F87" s="33">
        <f>IF(C87=1,MIN('Your paths'!D64,E87*(1+'Your paths'!D62)),0)</f>
        <v>2213.89181714195</v>
      </c>
      <c r="G87" s="33">
        <f>E87*'Your paths'!D62</f>
        <v>1450.18310094438</v>
      </c>
      <c r="H87" s="33">
        <f>MAX(0,E87+G87-F87)</f>
        <v>389561.557184956</v>
      </c>
      <c r="I87" s="33">
        <f>IF(C87=0,0,IF(AND(B87='Your paths'!D61,'Your paths'!D36&lt;&gt;"Rent"),'Your paths'!D41,I86)*(1+'Your paths'!$C$31)^(1/12))</f>
        <v>511686.004065565</v>
      </c>
      <c r="J87" s="33">
        <f>(D87+F87+IF(C87=1,('Your paths'!D45/12+'Your paths'!D46+'Your paths'!D47)*(1+'Your paths'!$C$21)^INT((B87-1)/12),0))*'Your paths'!$C$32</f>
        <v>3068.99181714195</v>
      </c>
      <c r="K87" s="33">
        <f>('Your paths'!$C$9+'Your paths'!D49)*(1+'Your paths'!$C$24)^INT((B87-1)/12)</f>
        <v>7140</v>
      </c>
      <c r="L87" s="33">
        <f>('Your paths'!$C$10+'Your paths'!D48)*(1+'Your paths'!$C$21)^INT((B87-1)/12)</f>
        <v>2040</v>
      </c>
      <c r="M87" s="33">
        <f>IF('Your paths'!D39="",'Your paths'!$C$12,'Your paths'!D39)+IF(AND('Your paths'!D55="Yes",C87=1,B87&gt;='Your paths'!D57),'Your paths'!D56,0)</f>
        <v>700</v>
      </c>
      <c r="N87" s="33">
        <f>N86+MAX(0,N86)*((1+'Your paths'!$C$29)^(1/12)-1)+Q87-P87+R87</f>
        <v>17906.0681897148</v>
      </c>
      <c r="O87" s="33">
        <f>(O86-R87)*(1+'Your paths'!$C$30)^(1/12)+M87</f>
        <v>34611.5750901249</v>
      </c>
      <c r="P87" s="33">
        <f>IF(AND(B87='Your paths'!D61,'Your paths'!D36&lt;&gt;"Rent"),'Your paths'!D42+'Your paths'!D65+IF('Your paths'!D36="Rent then buy",'Your paths'!D38,0),0)</f>
        <v>0</v>
      </c>
      <c r="Q87" s="33">
        <f>K87-SUM(J87,L87,M87)</f>
        <v>1331.00818285805</v>
      </c>
      <c r="R87" s="33">
        <f>IF(P87&gt;0,MIN(MAX(0,P87-N86),MAX(0,O86)),0)</f>
        <v>0</v>
      </c>
      <c r="S87" s="2">
        <f>IF(P87&gt;0,MAX(0,P87-N86-O86),0)</f>
        <v>0</v>
      </c>
    </row>
    <row r="88" ht="27" customHeight="1">
      <c r="A88" s="3" t="n"/>
      <c r="B88" s="3" t="n">
        <v>15</v>
      </c>
      <c r="C88" s="3">
        <f>IF(B88&gt;='Your paths'!D61,1,0)</f>
        <v>1</v>
      </c>
      <c r="D88" s="33">
        <f>IF(C88=1,0,'Your paths'!D37*(1+'Your paths'!$C$20)^INT((B88-1)/12))</f>
        <v>0</v>
      </c>
      <c r="E88" s="33">
        <f>IF(AND(B88='Your paths'!D61,'Your paths'!D36&lt;&gt;"Rent"),'Your paths'!D63,H87)</f>
        <v>389561.557184956</v>
      </c>
      <c r="F88" s="33">
        <f>IF(C88=1,MIN('Your paths'!D64,E88*(1+'Your paths'!D62)),0)</f>
        <v>2213.89181714195</v>
      </c>
      <c r="G88" s="33">
        <f>E88*'Your paths'!D62</f>
        <v>1447.34567900164</v>
      </c>
      <c r="H88" s="33">
        <f>MAX(0,E88+G88-F88)</f>
        <v>388795.011046815</v>
      </c>
      <c r="I88" s="33">
        <f>IF(C88=0,0,IF(AND(B88='Your paths'!D61,'Your paths'!D36&lt;&gt;"Rent"),'Your paths'!D41,I87)*(1+'Your paths'!$C$31)^(1/12))</f>
        <v>512531.095102334</v>
      </c>
      <c r="J88" s="33">
        <f>(D88+F88+IF(C88=1,('Your paths'!D45/12+'Your paths'!D46+'Your paths'!D47)*(1+'Your paths'!$C$21)^INT((B88-1)/12),0))*'Your paths'!$C$32</f>
        <v>3068.99181714195</v>
      </c>
      <c r="K88" s="33">
        <f>('Your paths'!$C$9+'Your paths'!D49)*(1+'Your paths'!$C$24)^INT((B88-1)/12)</f>
        <v>7140</v>
      </c>
      <c r="L88" s="33">
        <f>('Your paths'!$C$10+'Your paths'!D48)*(1+'Your paths'!$C$21)^INT((B88-1)/12)</f>
        <v>2040</v>
      </c>
      <c r="M88" s="33">
        <f>IF('Your paths'!D39="",'Your paths'!$C$12,'Your paths'!D39)+IF(AND('Your paths'!D55="Yes",C88=1,B88&gt;='Your paths'!D57),'Your paths'!D56,0)</f>
        <v>700</v>
      </c>
      <c r="N88" s="33">
        <f>N87+MAX(0,N87)*((1+'Your paths'!$C$29)^(1/12)-1)+Q88-P88+R88</f>
        <v>19266.6496999859</v>
      </c>
      <c r="O88" s="33">
        <f>(O87-R88)*(1+'Your paths'!$C$30)^(1/12)+M88</f>
        <v>35424.884380422</v>
      </c>
      <c r="P88" s="33">
        <f>IF(AND(B88='Your paths'!D61,'Your paths'!D36&lt;&gt;"Rent"),'Your paths'!D42+'Your paths'!D65+IF('Your paths'!D36="Rent then buy",'Your paths'!D38,0),0)</f>
        <v>0</v>
      </c>
      <c r="Q88" s="33">
        <f>K88-SUM(J88,L88,M88)</f>
        <v>1331.00818285805</v>
      </c>
      <c r="R88" s="33">
        <f>IF(P88&gt;0,MIN(MAX(0,P88-N87),MAX(0,O87)),0)</f>
        <v>0</v>
      </c>
      <c r="S88" s="2">
        <f>IF(P88&gt;0,MAX(0,P88-N87-O87),0)</f>
        <v>0</v>
      </c>
    </row>
    <row r="89" ht="27" customHeight="1">
      <c r="A89" s="3" t="n"/>
      <c r="B89" s="3" t="n">
        <v>16</v>
      </c>
      <c r="C89" s="3">
        <f>IF(B89&gt;='Your paths'!D61,1,0)</f>
        <v>1</v>
      </c>
      <c r="D89" s="33">
        <f>IF(C89=1,0,'Your paths'!D37*(1+'Your paths'!$C$20)^INT((B89-1)/12))</f>
        <v>0</v>
      </c>
      <c r="E89" s="33">
        <f>IF(AND(B89='Your paths'!D61,'Your paths'!D36&lt;&gt;"Rent"),'Your paths'!D63,H88)</f>
        <v>388795.011046815</v>
      </c>
      <c r="F89" s="33">
        <f>IF(C89=1,MIN('Your paths'!D64,E89*(1+'Your paths'!D62)),0)</f>
        <v>2213.89181714195</v>
      </c>
      <c r="G89" s="33">
        <f>E89*'Your paths'!D62</f>
        <v>1444.49771512961</v>
      </c>
      <c r="H89" s="33">
        <f>MAX(0,E89+G89-F89)</f>
        <v>388025.616944803</v>
      </c>
      <c r="I89" s="33">
        <f>IF(C89=0,0,IF(AND(B89='Your paths'!D61,'Your paths'!D36&lt;&gt;"Rent"),'Your paths'!D41,I88)*(1+'Your paths'!$C$31)^(1/12))</f>
        <v>513377.581875658</v>
      </c>
      <c r="J89" s="33">
        <f>(D89+F89+IF(C89=1,('Your paths'!D45/12+'Your paths'!D46+'Your paths'!D47)*(1+'Your paths'!$C$21)^INT((B89-1)/12),0))*'Your paths'!$C$32</f>
        <v>3068.99181714195</v>
      </c>
      <c r="K89" s="33">
        <f>('Your paths'!$C$9+'Your paths'!D49)*(1+'Your paths'!$C$24)^INT((B89-1)/12)</f>
        <v>7140</v>
      </c>
      <c r="L89" s="33">
        <f>('Your paths'!$C$10+'Your paths'!D48)*(1+'Your paths'!$C$21)^INT((B89-1)/12)</f>
        <v>2040</v>
      </c>
      <c r="M89" s="33">
        <f>IF('Your paths'!D39="",'Your paths'!$C$12,'Your paths'!D39)+IF(AND('Your paths'!D55="Yes",C89=1,B89&gt;='Your paths'!D57),'Your paths'!D56,0)</f>
        <v>700</v>
      </c>
      <c r="N89" s="33">
        <f>N88+MAX(0,N88)*((1+'Your paths'!$C$29)^(1/12)-1)+Q89-P89+R89</f>
        <v>20629.4783212391</v>
      </c>
      <c r="O89" s="33">
        <f>(O88-R89)*(1+'Your paths'!$C$30)^(1/12)+M89</f>
        <v>36240.856233698</v>
      </c>
      <c r="P89" s="33">
        <f>IF(AND(B89='Your paths'!D61,'Your paths'!D36&lt;&gt;"Rent"),'Your paths'!D42+'Your paths'!D65+IF('Your paths'!D36="Rent then buy",'Your paths'!D38,0),0)</f>
        <v>0</v>
      </c>
      <c r="Q89" s="33">
        <f>K89-SUM(J89,L89,M89)</f>
        <v>1331.00818285805</v>
      </c>
      <c r="R89" s="33">
        <f>IF(P89&gt;0,MIN(MAX(0,P89-N88),MAX(0,O88)),0)</f>
        <v>0</v>
      </c>
      <c r="S89" s="2">
        <f>IF(P89&gt;0,MAX(0,P89-N88-O88),0)</f>
        <v>0</v>
      </c>
    </row>
    <row r="90" ht="27" customHeight="1">
      <c r="A90" s="3" t="n"/>
      <c r="B90" s="3" t="n">
        <v>17</v>
      </c>
      <c r="C90" s="3">
        <f>IF(B90&gt;='Your paths'!D61,1,0)</f>
        <v>1</v>
      </c>
      <c r="D90" s="33">
        <f>IF(C90=1,0,'Your paths'!D37*(1+'Your paths'!$C$20)^INT((B90-1)/12))</f>
        <v>0</v>
      </c>
      <c r="E90" s="33">
        <f>IF(AND(B90='Your paths'!D61,'Your paths'!D36&lt;&gt;"Rent"),'Your paths'!D63,H89)</f>
        <v>388025.616944803</v>
      </c>
      <c r="F90" s="33">
        <f>IF(C90=1,MIN('Your paths'!D64,E90*(1+'Your paths'!D62)),0)</f>
        <v>2213.89181714195</v>
      </c>
      <c r="G90" s="33">
        <f>E90*'Your paths'!D62</f>
        <v>1441.63917016167</v>
      </c>
      <c r="H90" s="33">
        <f>MAX(0,E90+G90-F90)</f>
        <v>387253.364297823</v>
      </c>
      <c r="I90" s="33">
        <f>IF(C90=0,0,IF(AND(B90='Your paths'!D61,'Your paths'!D36&lt;&gt;"Rent"),'Your paths'!D41,I89)*(1+'Your paths'!$C$31)^(1/12))</f>
        <v>514225.466690709</v>
      </c>
      <c r="J90" s="33">
        <f>(D90+F90+IF(C90=1,('Your paths'!D45/12+'Your paths'!D46+'Your paths'!D47)*(1+'Your paths'!$C$21)^INT((B90-1)/12),0))*'Your paths'!$C$32</f>
        <v>3068.99181714195</v>
      </c>
      <c r="K90" s="33">
        <f>('Your paths'!$C$9+'Your paths'!D49)*(1+'Your paths'!$C$24)^INT((B90-1)/12)</f>
        <v>7140</v>
      </c>
      <c r="L90" s="33">
        <f>('Your paths'!$C$10+'Your paths'!D48)*(1+'Your paths'!$C$21)^INT((B90-1)/12)</f>
        <v>2040</v>
      </c>
      <c r="M90" s="33">
        <f>IF('Your paths'!D39="",'Your paths'!$C$12,'Your paths'!D39)+IF(AND('Your paths'!D55="Yes",C90=1,B90&gt;='Your paths'!D57),'Your paths'!D56,0)</f>
        <v>700</v>
      </c>
      <c r="N90" s="33">
        <f>N89+MAX(0,N89)*((1+'Your paths'!$C$29)^(1/12)-1)+Q90-P90+R90</f>
        <v>21994.5577647609</v>
      </c>
      <c r="O90" s="33">
        <f>(O89-R90)*(1+'Your paths'!$C$30)^(1/12)+M90</f>
        <v>37059.4993664912</v>
      </c>
      <c r="P90" s="33">
        <f>IF(AND(B90='Your paths'!D61,'Your paths'!D36&lt;&gt;"Rent"),'Your paths'!D42+'Your paths'!D65+IF('Your paths'!D36="Rent then buy",'Your paths'!D38,0),0)</f>
        <v>0</v>
      </c>
      <c r="Q90" s="33">
        <f>K90-SUM(J90,L90,M90)</f>
        <v>1331.00818285805</v>
      </c>
      <c r="R90" s="33">
        <f>IF(P90&gt;0,MIN(MAX(0,P90-N89),MAX(0,O89)),0)</f>
        <v>0</v>
      </c>
      <c r="S90" s="2">
        <f>IF(P90&gt;0,MAX(0,P90-N89-O89),0)</f>
        <v>0</v>
      </c>
    </row>
    <row r="91" ht="27" customHeight="1">
      <c r="A91" s="3" t="n"/>
      <c r="B91" s="3" t="n">
        <v>18</v>
      </c>
      <c r="C91" s="3">
        <f>IF(B91&gt;='Your paths'!D61,1,0)</f>
        <v>1</v>
      </c>
      <c r="D91" s="33">
        <f>IF(C91=1,0,'Your paths'!D37*(1+'Your paths'!$C$20)^INT((B91-1)/12))</f>
        <v>0</v>
      </c>
      <c r="E91" s="33">
        <f>IF(AND(B91='Your paths'!D61,'Your paths'!D36&lt;&gt;"Rent"),'Your paths'!D63,H90)</f>
        <v>387253.364297823</v>
      </c>
      <c r="F91" s="33">
        <f>IF(C91=1,MIN('Your paths'!D64,E91*(1+'Your paths'!D62)),0)</f>
        <v>2213.89181714195</v>
      </c>
      <c r="G91" s="33">
        <f>E91*'Your paths'!D62</f>
        <v>1438.77000478564</v>
      </c>
      <c r="H91" s="33">
        <f>MAX(0,E91+G91-F91)</f>
        <v>386478.242485466</v>
      </c>
      <c r="I91" s="33">
        <f>IF(C91=0,0,IF(AND(B91='Your paths'!D61,'Your paths'!D36&lt;&gt;"Rent"),'Your paths'!D41,I90)*(1+'Your paths'!$C$31)^(1/12))</f>
        <v>515074.751856467</v>
      </c>
      <c r="J91" s="33">
        <f>(D91+F91+IF(C91=1,('Your paths'!D45/12+'Your paths'!D46+'Your paths'!D47)*(1+'Your paths'!$C$21)^INT((B91-1)/12),0))*'Your paths'!$C$32</f>
        <v>3068.99181714195</v>
      </c>
      <c r="K91" s="33">
        <f>('Your paths'!$C$9+'Your paths'!D49)*(1+'Your paths'!$C$24)^INT((B91-1)/12)</f>
        <v>7140</v>
      </c>
      <c r="L91" s="33">
        <f>('Your paths'!$C$10+'Your paths'!D48)*(1+'Your paths'!$C$21)^INT((B91-1)/12)</f>
        <v>2040</v>
      </c>
      <c r="M91" s="33">
        <f>IF('Your paths'!D39="",'Your paths'!$C$12,'Your paths'!D39)+IF(AND('Your paths'!D55="Yes",C91=1,B91&gt;='Your paths'!D57),'Your paths'!D56,0)</f>
        <v>700</v>
      </c>
      <c r="N91" s="33">
        <f>N90+MAX(0,N90)*((1+'Your paths'!$C$29)^(1/12)-1)+Q91-P91+R91</f>
        <v>23361.8917479672</v>
      </c>
      <c r="O91" s="33">
        <f>(O90-R91)*(1+'Your paths'!$C$30)^(1/12)+M91</f>
        <v>37880.8225238757</v>
      </c>
      <c r="P91" s="33">
        <f>IF(AND(B91='Your paths'!D61,'Your paths'!D36&lt;&gt;"Rent"),'Your paths'!D42+'Your paths'!D65+IF('Your paths'!D36="Rent then buy",'Your paths'!D38,0),0)</f>
        <v>0</v>
      </c>
      <c r="Q91" s="33">
        <f>K91-SUM(J91,L91,M91)</f>
        <v>1331.00818285805</v>
      </c>
      <c r="R91" s="33">
        <f>IF(P91&gt;0,MIN(MAX(0,P91-N90),MAX(0,O90)),0)</f>
        <v>0</v>
      </c>
      <c r="S91" s="2">
        <f>IF(P91&gt;0,MAX(0,P91-N90-O90),0)</f>
        <v>0</v>
      </c>
    </row>
    <row r="92" ht="27" customHeight="1">
      <c r="A92" s="3" t="n"/>
      <c r="B92" s="3" t="n">
        <v>19</v>
      </c>
      <c r="C92" s="3">
        <f>IF(B92&gt;='Your paths'!D61,1,0)</f>
        <v>1</v>
      </c>
      <c r="D92" s="33">
        <f>IF(C92=1,0,'Your paths'!D37*(1+'Your paths'!$C$20)^INT((B92-1)/12))</f>
        <v>0</v>
      </c>
      <c r="E92" s="33">
        <f>IF(AND(B92='Your paths'!D61,'Your paths'!D36&lt;&gt;"Rent"),'Your paths'!D63,H91)</f>
        <v>386478.242485466</v>
      </c>
      <c r="F92" s="33">
        <f>IF(C92=1,MIN('Your paths'!D64,E92*(1+'Your paths'!D62)),0)</f>
        <v>2213.89181714195</v>
      </c>
      <c r="G92" s="33">
        <f>E92*'Your paths'!D62</f>
        <v>1435.89017954334</v>
      </c>
      <c r="H92" s="33">
        <f>MAX(0,E92+G92-F92)</f>
        <v>385700.240847868</v>
      </c>
      <c r="I92" s="33">
        <f>IF(C92=0,0,IF(AND(B92='Your paths'!D61,'Your paths'!D36&lt;&gt;"Rent"),'Your paths'!D41,I91)*(1+'Your paths'!$C$31)^(1/12))</f>
        <v>515925.439685724</v>
      </c>
      <c r="J92" s="33">
        <f>(D92+F92+IF(C92=1,('Your paths'!D45/12+'Your paths'!D46+'Your paths'!D47)*(1+'Your paths'!$C$21)^INT((B92-1)/12),0))*'Your paths'!$C$32</f>
        <v>3068.99181714195</v>
      </c>
      <c r="K92" s="33">
        <f>('Your paths'!$C$9+'Your paths'!D49)*(1+'Your paths'!$C$24)^INT((B92-1)/12)</f>
        <v>7140</v>
      </c>
      <c r="L92" s="33">
        <f>('Your paths'!$C$10+'Your paths'!D48)*(1+'Your paths'!$C$21)^INT((B92-1)/12)</f>
        <v>2040</v>
      </c>
      <c r="M92" s="33">
        <f>IF('Your paths'!D39="",'Your paths'!$C$12,'Your paths'!D39)+IF(AND('Your paths'!D55="Yes",C92=1,B92&gt;='Your paths'!D57),'Your paths'!D56,0)</f>
        <v>700</v>
      </c>
      <c r="N92" s="33">
        <f>N91+MAX(0,N91)*((1+'Your paths'!$C$29)^(1/12)-1)+Q92-P92+R92</f>
        <v>24731.4839944137</v>
      </c>
      <c r="O92" s="33">
        <f>(O91-R92)*(1+'Your paths'!$C$30)^(1/12)+M92</f>
        <v>38704.8344795545</v>
      </c>
      <c r="P92" s="33">
        <f>IF(AND(B92='Your paths'!D61,'Your paths'!D36&lt;&gt;"Rent"),'Your paths'!D42+'Your paths'!D65+IF('Your paths'!D36="Rent then buy",'Your paths'!D38,0),0)</f>
        <v>0</v>
      </c>
      <c r="Q92" s="33">
        <f>K92-SUM(J92,L92,M92)</f>
        <v>1331.00818285805</v>
      </c>
      <c r="R92" s="33">
        <f>IF(P92&gt;0,MIN(MAX(0,P92-N91),MAX(0,O91)),0)</f>
        <v>0</v>
      </c>
      <c r="S92" s="2">
        <f>IF(P92&gt;0,MAX(0,P92-N91-O91),0)</f>
        <v>0</v>
      </c>
    </row>
    <row r="93" ht="27" customHeight="1">
      <c r="A93" s="3" t="n"/>
      <c r="B93" s="3" t="n">
        <v>20</v>
      </c>
      <c r="C93" s="3">
        <f>IF(B93&gt;='Your paths'!D61,1,0)</f>
        <v>1</v>
      </c>
      <c r="D93" s="33">
        <f>IF(C93=1,0,'Your paths'!D37*(1+'Your paths'!$C$20)^INT((B93-1)/12))</f>
        <v>0</v>
      </c>
      <c r="E93" s="33">
        <f>IF(AND(B93='Your paths'!D61,'Your paths'!D36&lt;&gt;"Rent"),'Your paths'!D63,H92)</f>
        <v>385700.240847868</v>
      </c>
      <c r="F93" s="33">
        <f>IF(C93=1,MIN('Your paths'!D64,E93*(1+'Your paths'!D62)),0)</f>
        <v>2213.89181714195</v>
      </c>
      <c r="G93" s="33">
        <f>E93*'Your paths'!D62</f>
        <v>1432.99965482993</v>
      </c>
      <c r="H93" s="33">
        <f>MAX(0,E93+G93-F93)</f>
        <v>384919.348685556</v>
      </c>
      <c r="I93" s="33">
        <f>IF(C93=0,0,IF(AND(B93='Your paths'!D61,'Your paths'!D36&lt;&gt;"Rent"),'Your paths'!D41,I92)*(1+'Your paths'!$C$31)^(1/12))</f>
        <v>516777.532495094</v>
      </c>
      <c r="J93" s="33">
        <f>(D93+F93+IF(C93=1,('Your paths'!D45/12+'Your paths'!D46+'Your paths'!D47)*(1+'Your paths'!$C$21)^INT((B93-1)/12),0))*'Your paths'!$C$32</f>
        <v>3068.99181714195</v>
      </c>
      <c r="K93" s="33">
        <f>('Your paths'!$C$9+'Your paths'!D49)*(1+'Your paths'!$C$24)^INT((B93-1)/12)</f>
        <v>7140</v>
      </c>
      <c r="L93" s="33">
        <f>('Your paths'!$C$10+'Your paths'!D48)*(1+'Your paths'!$C$21)^INT((B93-1)/12)</f>
        <v>2040</v>
      </c>
      <c r="M93" s="33">
        <f>IF('Your paths'!D39="",'Your paths'!$C$12,'Your paths'!D39)+IF(AND('Your paths'!D55="Yes",C93=1,B93&gt;='Your paths'!D57),'Your paths'!D56,0)</f>
        <v>700</v>
      </c>
      <c r="N93" s="33">
        <f>N92+MAX(0,N92)*((1+'Your paths'!$C$29)^(1/12)-1)+Q93-P93+R93</f>
        <v>26103.3382338056</v>
      </c>
      <c r="O93" s="33">
        <f>(O92-R93)*(1+'Your paths'!$C$30)^(1/12)+M93</f>
        <v>39531.5440359536</v>
      </c>
      <c r="P93" s="33">
        <f>IF(AND(B93='Your paths'!D61,'Your paths'!D36&lt;&gt;"Rent"),'Your paths'!D42+'Your paths'!D65+IF('Your paths'!D36="Rent then buy",'Your paths'!D38,0),0)</f>
        <v>0</v>
      </c>
      <c r="Q93" s="33">
        <f>K93-SUM(J93,L93,M93)</f>
        <v>1331.00818285805</v>
      </c>
      <c r="R93" s="33">
        <f>IF(P93&gt;0,MIN(MAX(0,P93-N92),MAX(0,O92)),0)</f>
        <v>0</v>
      </c>
      <c r="S93" s="2">
        <f>IF(P93&gt;0,MAX(0,P93-N92-O92),0)</f>
        <v>0</v>
      </c>
    </row>
    <row r="94" ht="27" customHeight="1">
      <c r="A94" s="3" t="n"/>
      <c r="B94" s="3" t="n">
        <v>21</v>
      </c>
      <c r="C94" s="3">
        <f>IF(B94&gt;='Your paths'!D61,1,0)</f>
        <v>1</v>
      </c>
      <c r="D94" s="33">
        <f>IF(C94=1,0,'Your paths'!D37*(1+'Your paths'!$C$20)^INT((B94-1)/12))</f>
        <v>0</v>
      </c>
      <c r="E94" s="33">
        <f>IF(AND(B94='Your paths'!D61,'Your paths'!D36&lt;&gt;"Rent"),'Your paths'!D63,H93)</f>
        <v>384919.348685556</v>
      </c>
      <c r="F94" s="33">
        <f>IF(C94=1,MIN('Your paths'!D64,E94*(1+'Your paths'!D62)),0)</f>
        <v>2213.89181714195</v>
      </c>
      <c r="G94" s="33">
        <f>E94*'Your paths'!D62</f>
        <v>1430.09839089348</v>
      </c>
      <c r="H94" s="33">
        <f>MAX(0,E94+G94-F94)</f>
        <v>384135.555259307</v>
      </c>
      <c r="I94" s="33">
        <f>IF(C94=0,0,IF(AND(B94='Your paths'!D61,'Your paths'!D36&lt;&gt;"Rent"),'Your paths'!D41,I93)*(1+'Your paths'!$C$31)^(1/12))</f>
        <v>517631.032605015</v>
      </c>
      <c r="J94" s="33">
        <f>(D94+F94+IF(C94=1,('Your paths'!D45/12+'Your paths'!D46+'Your paths'!D47)*(1+'Your paths'!$C$21)^INT((B94-1)/12),0))*'Your paths'!$C$32</f>
        <v>3068.99181714195</v>
      </c>
      <c r="K94" s="33">
        <f>('Your paths'!$C$9+'Your paths'!D49)*(1+'Your paths'!$C$24)^INT((B94-1)/12)</f>
        <v>7140</v>
      </c>
      <c r="L94" s="33">
        <f>('Your paths'!$C$10+'Your paths'!D48)*(1+'Your paths'!$C$21)^INT((B94-1)/12)</f>
        <v>2040</v>
      </c>
      <c r="M94" s="33">
        <f>IF('Your paths'!D39="",'Your paths'!$C$12,'Your paths'!D39)+IF(AND('Your paths'!D55="Yes",C94=1,B94&gt;='Your paths'!D57),'Your paths'!D56,0)</f>
        <v>700</v>
      </c>
      <c r="N94" s="33">
        <f>N93+MAX(0,N93)*((1+'Your paths'!$C$29)^(1/12)-1)+Q94-P94+R94</f>
        <v>27477.4582020083</v>
      </c>
      <c r="O94" s="33">
        <f>(O93-R94)*(1+'Your paths'!$C$30)^(1/12)+M94</f>
        <v>40360.9600243159</v>
      </c>
      <c r="P94" s="33">
        <f>IF(AND(B94='Your paths'!D61,'Your paths'!D36&lt;&gt;"Rent"),'Your paths'!D42+'Your paths'!D65+IF('Your paths'!D36="Rent then buy",'Your paths'!D38,0),0)</f>
        <v>0</v>
      </c>
      <c r="Q94" s="33">
        <f>K94-SUM(J94,L94,M94)</f>
        <v>1331.00818285805</v>
      </c>
      <c r="R94" s="33">
        <f>IF(P94&gt;0,MIN(MAX(0,P94-N93),MAX(0,O93)),0)</f>
        <v>0</v>
      </c>
      <c r="S94" s="2">
        <f>IF(P94&gt;0,MAX(0,P94-N93-O93),0)</f>
        <v>0</v>
      </c>
    </row>
    <row r="95" ht="27" customHeight="1">
      <c r="A95" s="3" t="n"/>
      <c r="B95" s="3" t="n">
        <v>22</v>
      </c>
      <c r="C95" s="3">
        <f>IF(B95&gt;='Your paths'!D61,1,0)</f>
        <v>1</v>
      </c>
      <c r="D95" s="33">
        <f>IF(C95=1,0,'Your paths'!D37*(1+'Your paths'!$C$20)^INT((B95-1)/12))</f>
        <v>0</v>
      </c>
      <c r="E95" s="33">
        <f>IF(AND(B95='Your paths'!D61,'Your paths'!D36&lt;&gt;"Rent"),'Your paths'!D63,H94)</f>
        <v>384135.555259307</v>
      </c>
      <c r="F95" s="33">
        <f>IF(C95=1,MIN('Your paths'!D64,E95*(1+'Your paths'!D62)),0)</f>
        <v>2213.89181714195</v>
      </c>
      <c r="G95" s="33">
        <f>E95*'Your paths'!D62</f>
        <v>1427.18634783434</v>
      </c>
      <c r="H95" s="33">
        <f>MAX(0,E95+G95-F95)</f>
        <v>383348.84979</v>
      </c>
      <c r="I95" s="33">
        <f>IF(C95=0,0,IF(AND(B95='Your paths'!D61,'Your paths'!D36&lt;&gt;"Rent"),'Your paths'!D41,I94)*(1+'Your paths'!$C$31)^(1/12))</f>
        <v>518485.942339759</v>
      </c>
      <c r="J95" s="33">
        <f>(D95+F95+IF(C95=1,('Your paths'!D45/12+'Your paths'!D46+'Your paths'!D47)*(1+'Your paths'!$C$21)^INT((B95-1)/12),0))*'Your paths'!$C$32</f>
        <v>3068.99181714195</v>
      </c>
      <c r="K95" s="33">
        <f>('Your paths'!$C$9+'Your paths'!D49)*(1+'Your paths'!$C$24)^INT((B95-1)/12)</f>
        <v>7140</v>
      </c>
      <c r="L95" s="33">
        <f>('Your paths'!$C$10+'Your paths'!D48)*(1+'Your paths'!$C$21)^INT((B95-1)/12)</f>
        <v>2040</v>
      </c>
      <c r="M95" s="33">
        <f>IF('Your paths'!D39="",'Your paths'!$C$12,'Your paths'!D39)+IF(AND('Your paths'!D55="Yes",C95=1,B95&gt;='Your paths'!D57),'Your paths'!D56,0)</f>
        <v>700</v>
      </c>
      <c r="N95" s="33">
        <f>N94+MAX(0,N94)*((1+'Your paths'!$C$29)^(1/12)-1)+Q95-P95+R95</f>
        <v>28853.8476410571</v>
      </c>
      <c r="O95" s="33">
        <f>(O94-R95)*(1+'Your paths'!$C$30)^(1/12)+M95</f>
        <v>41193.0913047952</v>
      </c>
      <c r="P95" s="33">
        <f>IF(AND(B95='Your paths'!D61,'Your paths'!D36&lt;&gt;"Rent"),'Your paths'!D42+'Your paths'!D65+IF('Your paths'!D36="Rent then buy",'Your paths'!D38,0),0)</f>
        <v>0</v>
      </c>
      <c r="Q95" s="33">
        <f>K95-SUM(J95,L95,M95)</f>
        <v>1331.00818285805</v>
      </c>
      <c r="R95" s="33">
        <f>IF(P95&gt;0,MIN(MAX(0,P95-N94),MAX(0,O94)),0)</f>
        <v>0</v>
      </c>
      <c r="S95" s="2">
        <f>IF(P95&gt;0,MAX(0,P95-N94-O94),0)</f>
        <v>0</v>
      </c>
    </row>
    <row r="96" ht="27" customHeight="1">
      <c r="A96" s="3" t="n"/>
      <c r="B96" s="3" t="n">
        <v>23</v>
      </c>
      <c r="C96" s="3">
        <f>IF(B96&gt;='Your paths'!D61,1,0)</f>
        <v>1</v>
      </c>
      <c r="D96" s="33">
        <f>IF(C96=1,0,'Your paths'!D37*(1+'Your paths'!$C$20)^INT((B96-1)/12))</f>
        <v>0</v>
      </c>
      <c r="E96" s="33">
        <f>IF(AND(B96='Your paths'!D61,'Your paths'!D36&lt;&gt;"Rent"),'Your paths'!D63,H95)</f>
        <v>383348.84979</v>
      </c>
      <c r="F96" s="33">
        <f>IF(C96=1,MIN('Your paths'!D64,E96*(1+'Your paths'!D62)),0)</f>
        <v>2213.89181714195</v>
      </c>
      <c r="G96" s="33">
        <f>E96*'Your paths'!D62</f>
        <v>1424.26348560461</v>
      </c>
      <c r="H96" s="33">
        <f>MAX(0,E96+G96-F96)</f>
        <v>382559.221458462</v>
      </c>
      <c r="I96" s="33">
        <f>IF(C96=0,0,IF(AND(B96='Your paths'!D61,'Your paths'!D36&lt;&gt;"Rent"),'Your paths'!D41,I95)*(1+'Your paths'!$C$31)^(1/12))</f>
        <v>519342.264027436</v>
      </c>
      <c r="J96" s="33">
        <f>(D96+F96+IF(C96=1,('Your paths'!D45/12+'Your paths'!D46+'Your paths'!D47)*(1+'Your paths'!$C$21)^INT((B96-1)/12),0))*'Your paths'!$C$32</f>
        <v>3068.99181714195</v>
      </c>
      <c r="K96" s="33">
        <f>('Your paths'!$C$9+'Your paths'!D49)*(1+'Your paths'!$C$24)^INT((B96-1)/12)</f>
        <v>7140</v>
      </c>
      <c r="L96" s="33">
        <f>('Your paths'!$C$10+'Your paths'!D48)*(1+'Your paths'!$C$21)^INT((B96-1)/12)</f>
        <v>2040</v>
      </c>
      <c r="M96" s="33">
        <f>IF('Your paths'!D39="",'Your paths'!$C$12,'Your paths'!D39)+IF(AND('Your paths'!D55="Yes",C96=1,B96&gt;='Your paths'!D57),'Your paths'!D56,0)</f>
        <v>700</v>
      </c>
      <c r="N96" s="33">
        <f>N95+MAX(0,N95)*((1+'Your paths'!$C$29)^(1/12)-1)+Q96-P96+R96</f>
        <v>30232.5102991676</v>
      </c>
      <c r="O96" s="33">
        <f>(O95-R96)*(1+'Your paths'!$C$30)^(1/12)+M96</f>
        <v>42027.9467665515</v>
      </c>
      <c r="P96" s="33">
        <f>IF(AND(B96='Your paths'!D61,'Your paths'!D36&lt;&gt;"Rent"),'Your paths'!D42+'Your paths'!D65+IF('Your paths'!D36="Rent then buy",'Your paths'!D38,0),0)</f>
        <v>0</v>
      </c>
      <c r="Q96" s="33">
        <f>K96-SUM(J96,L96,M96)</f>
        <v>1331.00818285805</v>
      </c>
      <c r="R96" s="33">
        <f>IF(P96&gt;0,MIN(MAX(0,P96-N95),MAX(0,O95)),0)</f>
        <v>0</v>
      </c>
      <c r="S96" s="2">
        <f>IF(P96&gt;0,MAX(0,P96-N95-O95),0)</f>
        <v>0</v>
      </c>
    </row>
    <row r="97" ht="27" customHeight="1">
      <c r="A97" s="3" t="n"/>
      <c r="B97" s="3" t="n">
        <v>24</v>
      </c>
      <c r="C97" s="3">
        <f>IF(B97&gt;='Your paths'!D61,1,0)</f>
        <v>1</v>
      </c>
      <c r="D97" s="33">
        <f>IF(C97=1,0,'Your paths'!D37*(1+'Your paths'!$C$20)^INT((B97-1)/12))</f>
        <v>0</v>
      </c>
      <c r="E97" s="33">
        <f>IF(AND(B97='Your paths'!D61,'Your paths'!D36&lt;&gt;"Rent"),'Your paths'!D63,H96)</f>
        <v>382559.221458462</v>
      </c>
      <c r="F97" s="33">
        <f>IF(C97=1,MIN('Your paths'!D64,E97*(1+'Your paths'!D62)),0)</f>
        <v>2213.89181714195</v>
      </c>
      <c r="G97" s="33">
        <f>E97*'Your paths'!D62</f>
        <v>1421.32976400763</v>
      </c>
      <c r="H97" s="33">
        <f>MAX(0,E97+G97-F97)</f>
        <v>381766.659405328</v>
      </c>
      <c r="I97" s="33">
        <f>IF(C97=0,0,IF(AND(B97='Your paths'!D61,'Your paths'!D36&lt;&gt;"Rent"),'Your paths'!D41,I96)*(1+'Your paths'!$C$31)^(1/12))</f>
        <v>520200.000000001</v>
      </c>
      <c r="J97" s="33">
        <f>(D97+F97+IF(C97=1,('Your paths'!D45/12+'Your paths'!D46+'Your paths'!D47)*(1+'Your paths'!$C$21)^INT((B97-1)/12),0))*'Your paths'!$C$32</f>
        <v>3068.99181714195</v>
      </c>
      <c r="K97" s="33">
        <f>('Your paths'!$C$9+'Your paths'!D49)*(1+'Your paths'!$C$24)^INT((B97-1)/12)</f>
        <v>7140</v>
      </c>
      <c r="L97" s="33">
        <f>('Your paths'!$C$10+'Your paths'!D48)*(1+'Your paths'!$C$21)^INT((B97-1)/12)</f>
        <v>2040</v>
      </c>
      <c r="M97" s="33">
        <f>IF('Your paths'!D39="",'Your paths'!$C$12,'Your paths'!D39)+IF(AND('Your paths'!D55="Yes",C97=1,B97&gt;='Your paths'!D57),'Your paths'!D56,0)</f>
        <v>700</v>
      </c>
      <c r="N97" s="33">
        <f>N96+MAX(0,N96)*((1+'Your paths'!$C$29)^(1/12)-1)+Q97-P97+R97</f>
        <v>31613.4499307458</v>
      </c>
      <c r="O97" s="33">
        <f>(O96-R97)*(1+'Your paths'!$C$30)^(1/12)+M97</f>
        <v>42865.5353278453</v>
      </c>
      <c r="P97" s="33">
        <f>IF(AND(B97='Your paths'!D61,'Your paths'!D36&lt;&gt;"Rent"),'Your paths'!D42+'Your paths'!D65+IF('Your paths'!D36="Rent then buy",'Your paths'!D38,0),0)</f>
        <v>0</v>
      </c>
      <c r="Q97" s="33">
        <f>K97-SUM(J97,L97,M97)</f>
        <v>1331.00818285805</v>
      </c>
      <c r="R97" s="33">
        <f>IF(P97&gt;0,MIN(MAX(0,P97-N96),MAX(0,O96)),0)</f>
        <v>0</v>
      </c>
      <c r="S97" s="2">
        <f>IF(P97&gt;0,MAX(0,P97-N96-O96),0)</f>
        <v>0</v>
      </c>
    </row>
    <row r="98" ht="27" customHeight="1">
      <c r="A98" s="3" t="n"/>
      <c r="B98" s="3" t="n">
        <v>25</v>
      </c>
      <c r="C98" s="3">
        <f>IF(B98&gt;='Your paths'!D61,1,0)</f>
        <v>1</v>
      </c>
      <c r="D98" s="33">
        <f>IF(C98=1,0,'Your paths'!D37*(1+'Your paths'!$C$20)^INT((B98-1)/12))</f>
        <v>0</v>
      </c>
      <c r="E98" s="33">
        <f>IF(AND(B98='Your paths'!D61,'Your paths'!D36&lt;&gt;"Rent"),'Your paths'!D63,H97)</f>
        <v>381766.659405328</v>
      </c>
      <c r="F98" s="33">
        <f>IF(C98=1,MIN('Your paths'!D64,E98*(1+'Your paths'!D62)),0)</f>
        <v>2213.89181714195</v>
      </c>
      <c r="G98" s="33">
        <f>E98*'Your paths'!D62</f>
        <v>1418.38514269737</v>
      </c>
      <c r="H98" s="33">
        <f>MAX(0,E98+G98-F98)</f>
        <v>380971.152730883</v>
      </c>
      <c r="I98" s="33">
        <f>IF(C98=0,0,IF(AND(B98='Your paths'!D61,'Your paths'!D36&lt;&gt;"Rent"),'Your paths'!D41,I97)*(1+'Your paths'!$C$31)^(1/12))</f>
        <v>521059.15259326</v>
      </c>
      <c r="J98" s="33">
        <f>(D98+F98+IF(C98=1,('Your paths'!D45/12+'Your paths'!D46+'Your paths'!D47)*(1+'Your paths'!$C$21)^INT((B98-1)/12),0))*'Your paths'!$C$32</f>
        <v>3086.09381714195</v>
      </c>
      <c r="K98" s="33">
        <f>('Your paths'!$C$9+'Your paths'!D49)*(1+'Your paths'!$C$24)^INT((B98-1)/12)</f>
        <v>7282.8</v>
      </c>
      <c r="L98" s="33">
        <f>('Your paths'!$C$10+'Your paths'!D48)*(1+'Your paths'!$C$21)^INT((B98-1)/12)</f>
        <v>2080.8</v>
      </c>
      <c r="M98" s="33">
        <f>IF('Your paths'!D39="",'Your paths'!$C$12,'Your paths'!D39)+IF(AND('Your paths'!D55="Yes",C98=1,B98&gt;='Your paths'!D57),'Your paths'!D56,0)</f>
        <v>700</v>
      </c>
      <c r="N98" s="33">
        <f>N97+MAX(0,N97)*((1+'Your paths'!$C$29)^(1/12)-1)+Q98-P98+R98</f>
        <v>33081.5682963987</v>
      </c>
      <c r="O98" s="33">
        <f>(O97-R98)*(1+'Your paths'!$C$30)^(1/12)+M98</f>
        <v>43705.8659361333</v>
      </c>
      <c r="P98" s="33">
        <f>IF(AND(B98='Your paths'!D61,'Your paths'!D36&lt;&gt;"Rent"),'Your paths'!D42+'Your paths'!D65+IF('Your paths'!D36="Rent then buy",'Your paths'!D38,0),0)</f>
        <v>0</v>
      </c>
      <c r="Q98" s="33">
        <f>K98-SUM(J98,L98,M98)</f>
        <v>1415.90618285805</v>
      </c>
      <c r="R98" s="33">
        <f>IF(P98&gt;0,MIN(MAX(0,P98-N97),MAX(0,O97)),0)</f>
        <v>0</v>
      </c>
      <c r="S98" s="2">
        <f>IF(P98&gt;0,MAX(0,P98-N97-O97),0)</f>
        <v>0</v>
      </c>
    </row>
    <row r="99" ht="27" customHeight="1">
      <c r="A99" s="3" t="n"/>
      <c r="B99" s="3" t="n">
        <v>26</v>
      </c>
      <c r="C99" s="3">
        <f>IF(B99&gt;='Your paths'!D61,1,0)</f>
        <v>1</v>
      </c>
      <c r="D99" s="33">
        <f>IF(C99=1,0,'Your paths'!D37*(1+'Your paths'!$C$20)^INT((B99-1)/12))</f>
        <v>0</v>
      </c>
      <c r="E99" s="33">
        <f>IF(AND(B99='Your paths'!D61,'Your paths'!D36&lt;&gt;"Rent"),'Your paths'!D63,H98)</f>
        <v>380971.152730883</v>
      </c>
      <c r="F99" s="33">
        <f>IF(C99=1,MIN('Your paths'!D64,E99*(1+'Your paths'!D62)),0)</f>
        <v>2213.89181714195</v>
      </c>
      <c r="G99" s="33">
        <f>E99*'Your paths'!D62</f>
        <v>1415.42958117791</v>
      </c>
      <c r="H99" s="33">
        <f>MAX(0,E99+G99-F99)</f>
        <v>380172.690494919</v>
      </c>
      <c r="I99" s="33">
        <f>IF(C99=0,0,IF(AND(B99='Your paths'!D61,'Your paths'!D36&lt;&gt;"Rent"),'Your paths'!D41,I98)*(1+'Your paths'!$C$31)^(1/12))</f>
        <v>521919.724146877</v>
      </c>
      <c r="J99" s="33">
        <f>(D99+F99+IF(C99=1,('Your paths'!D45/12+'Your paths'!D46+'Your paths'!D47)*(1+'Your paths'!$C$21)^INT((B99-1)/12),0))*'Your paths'!$C$32</f>
        <v>3086.09381714195</v>
      </c>
      <c r="K99" s="33">
        <f>('Your paths'!$C$9+'Your paths'!D49)*(1+'Your paths'!$C$24)^INT((B99-1)/12)</f>
        <v>7282.8</v>
      </c>
      <c r="L99" s="33">
        <f>('Your paths'!$C$10+'Your paths'!D48)*(1+'Your paths'!$C$21)^INT((B99-1)/12)</f>
        <v>2080.8</v>
      </c>
      <c r="M99" s="33">
        <f>IF('Your paths'!D39="",'Your paths'!$C$12,'Your paths'!D39)+IF(AND('Your paths'!D55="Yes",C99=1,B99&gt;='Your paths'!D57),'Your paths'!D56,0)</f>
        <v>700</v>
      </c>
      <c r="N99" s="33">
        <f>N98+MAX(0,N98)*((1+'Your paths'!$C$29)^(1/12)-1)+Q99-P99+R99</f>
        <v>34552.1113788933</v>
      </c>
      <c r="O99" s="33">
        <f>(O98-R99)*(1+'Your paths'!$C$30)^(1/12)+M99</f>
        <v>44548.9475681639</v>
      </c>
      <c r="P99" s="33">
        <f>IF(AND(B99='Your paths'!D61,'Your paths'!D36&lt;&gt;"Rent"),'Your paths'!D42+'Your paths'!D65+IF('Your paths'!D36="Rent then buy",'Your paths'!D38,0),0)</f>
        <v>0</v>
      </c>
      <c r="Q99" s="33">
        <f>K99-SUM(J99,L99,M99)</f>
        <v>1415.90618285805</v>
      </c>
      <c r="R99" s="33">
        <f>IF(P99&gt;0,MIN(MAX(0,P99-N98),MAX(0,O98)),0)</f>
        <v>0</v>
      </c>
      <c r="S99" s="2">
        <f>IF(P99&gt;0,MAX(0,P99-N98-O98),0)</f>
        <v>0</v>
      </c>
    </row>
    <row r="100" ht="27" customHeight="1">
      <c r="A100" s="3" t="n"/>
      <c r="B100" s="3" t="n">
        <v>27</v>
      </c>
      <c r="C100" s="3">
        <f>IF(B100&gt;='Your paths'!D61,1,0)</f>
        <v>1</v>
      </c>
      <c r="D100" s="33">
        <f>IF(C100=1,0,'Your paths'!D37*(1+'Your paths'!$C$20)^INT((B100-1)/12))</f>
        <v>0</v>
      </c>
      <c r="E100" s="33">
        <f>IF(AND(B100='Your paths'!D61,'Your paths'!D36&lt;&gt;"Rent"),'Your paths'!D63,H99)</f>
        <v>380172.690494919</v>
      </c>
      <c r="F100" s="33">
        <f>IF(C100=1,MIN('Your paths'!D64,E100*(1+'Your paths'!D62)),0)</f>
        <v>2213.89181714195</v>
      </c>
      <c r="G100" s="33">
        <f>E100*'Your paths'!D62</f>
        <v>1412.46303880289</v>
      </c>
      <c r="H100" s="33">
        <f>MAX(0,E100+G100-F100)</f>
        <v>379371.26171658</v>
      </c>
      <c r="I100" s="33">
        <f>IF(C100=0,0,IF(AND(B100='Your paths'!D61,'Your paths'!D36&lt;&gt;"Rent"),'Your paths'!D41,I99)*(1+'Your paths'!$C$31)^(1/12))</f>
        <v>522781.717004381</v>
      </c>
      <c r="J100" s="33">
        <f>(D100+F100+IF(C100=1,('Your paths'!D45/12+'Your paths'!D46+'Your paths'!D47)*(1+'Your paths'!$C$21)^INT((B100-1)/12),0))*'Your paths'!$C$32</f>
        <v>3086.09381714195</v>
      </c>
      <c r="K100" s="33">
        <f>('Your paths'!$C$9+'Your paths'!D49)*(1+'Your paths'!$C$24)^INT((B100-1)/12)</f>
        <v>7282.8</v>
      </c>
      <c r="L100" s="33">
        <f>('Your paths'!$C$10+'Your paths'!D48)*(1+'Your paths'!$C$21)^INT((B100-1)/12)</f>
        <v>2080.8</v>
      </c>
      <c r="M100" s="33">
        <f>IF('Your paths'!D39="",'Your paths'!$C$12,'Your paths'!D39)+IF(AND('Your paths'!D55="Yes",C100=1,B100&gt;='Your paths'!D57),'Your paths'!D56,0)</f>
        <v>700</v>
      </c>
      <c r="N100" s="33">
        <f>N99+MAX(0,N99)*((1+'Your paths'!$C$29)^(1/12)-1)+Q100-P100+R100</f>
        <v>36025.0831828466</v>
      </c>
      <c r="O100" s="33">
        <f>(O99-R100)*(1+'Your paths'!$C$30)^(1/12)+M100</f>
        <v>45394.7892300729</v>
      </c>
      <c r="P100" s="33">
        <f>IF(AND(B100='Your paths'!D61,'Your paths'!D36&lt;&gt;"Rent"),'Your paths'!D42+'Your paths'!D65+IF('Your paths'!D36="Rent then buy",'Your paths'!D38,0),0)</f>
        <v>0</v>
      </c>
      <c r="Q100" s="33">
        <f>K100-SUM(J100,L100,M100)</f>
        <v>1415.90618285805</v>
      </c>
      <c r="R100" s="33">
        <f>IF(P100&gt;0,MIN(MAX(0,P100-N99),MAX(0,O99)),0)</f>
        <v>0</v>
      </c>
      <c r="S100" s="2">
        <f>IF(P100&gt;0,MAX(0,P100-N99-O99),0)</f>
        <v>0</v>
      </c>
    </row>
    <row r="101" ht="27" customHeight="1">
      <c r="A101" s="3" t="n"/>
      <c r="B101" s="3" t="n">
        <v>28</v>
      </c>
      <c r="C101" s="3">
        <f>IF(B101&gt;='Your paths'!D61,1,0)</f>
        <v>1</v>
      </c>
      <c r="D101" s="33">
        <f>IF(C101=1,0,'Your paths'!D37*(1+'Your paths'!$C$20)^INT((B101-1)/12))</f>
        <v>0</v>
      </c>
      <c r="E101" s="33">
        <f>IF(AND(B101='Your paths'!D61,'Your paths'!D36&lt;&gt;"Rent"),'Your paths'!D63,H100)</f>
        <v>379371.26171658</v>
      </c>
      <c r="F101" s="33">
        <f>IF(C101=1,MIN('Your paths'!D64,E101*(1+'Your paths'!D62)),0)</f>
        <v>2213.89181714195</v>
      </c>
      <c r="G101" s="33">
        <f>E101*'Your paths'!D62</f>
        <v>1409.48547477491</v>
      </c>
      <c r="H101" s="33">
        <f>MAX(0,E101+G101-F101)</f>
        <v>378566.855374213</v>
      </c>
      <c r="I101" s="33">
        <f>IF(C101=0,0,IF(AND(B101='Your paths'!D61,'Your paths'!D36&lt;&gt;"Rent"),'Your paths'!D41,I100)*(1+'Your paths'!$C$31)^(1/12))</f>
        <v>523645.133513172</v>
      </c>
      <c r="J101" s="33">
        <f>(D101+F101+IF(C101=1,('Your paths'!D45/12+'Your paths'!D46+'Your paths'!D47)*(1+'Your paths'!$C$21)^INT((B101-1)/12),0))*'Your paths'!$C$32</f>
        <v>3086.09381714195</v>
      </c>
      <c r="K101" s="33">
        <f>('Your paths'!$C$9+'Your paths'!D49)*(1+'Your paths'!$C$24)^INT((B101-1)/12)</f>
        <v>7282.8</v>
      </c>
      <c r="L101" s="33">
        <f>('Your paths'!$C$10+'Your paths'!D48)*(1+'Your paths'!$C$21)^INT((B101-1)/12)</f>
        <v>2080.8</v>
      </c>
      <c r="M101" s="33">
        <f>IF('Your paths'!D39="",'Your paths'!$C$12,'Your paths'!D39)+IF(AND('Your paths'!D55="Yes",C101=1,B101&gt;='Your paths'!D57),'Your paths'!D56,0)</f>
        <v>700</v>
      </c>
      <c r="N101" s="33">
        <f>N100+MAX(0,N100)*((1+'Your paths'!$C$29)^(1/12)-1)+Q101-P101+R101</f>
        <v>37500.4877194895</v>
      </c>
      <c r="O101" s="33">
        <f>(O100-R101)*(1+'Your paths'!$C$30)^(1/12)+M101</f>
        <v>46243.3999574799</v>
      </c>
      <c r="P101" s="33">
        <f>IF(AND(B101='Your paths'!D61,'Your paths'!D36&lt;&gt;"Rent"),'Your paths'!D42+'Your paths'!D65+IF('Your paths'!D36="Rent then buy",'Your paths'!D38,0),0)</f>
        <v>0</v>
      </c>
      <c r="Q101" s="33">
        <f>K101-SUM(J101,L101,M101)</f>
        <v>1415.90618285805</v>
      </c>
      <c r="R101" s="33">
        <f>IF(P101&gt;0,MIN(MAX(0,P101-N100),MAX(0,O100)),0)</f>
        <v>0</v>
      </c>
      <c r="S101" s="2">
        <f>IF(P101&gt;0,MAX(0,P101-N100-O100),0)</f>
        <v>0</v>
      </c>
    </row>
    <row r="102" ht="27" customHeight="1">
      <c r="A102" s="3" t="n"/>
      <c r="B102" s="3" t="n">
        <v>29</v>
      </c>
      <c r="C102" s="3">
        <f>IF(B102&gt;='Your paths'!D61,1,0)</f>
        <v>1</v>
      </c>
      <c r="D102" s="33">
        <f>IF(C102=1,0,'Your paths'!D37*(1+'Your paths'!$C$20)^INT((B102-1)/12))</f>
        <v>0</v>
      </c>
      <c r="E102" s="33">
        <f>IF(AND(B102='Your paths'!D61,'Your paths'!D36&lt;&gt;"Rent"),'Your paths'!D63,H101)</f>
        <v>378566.855374213</v>
      </c>
      <c r="F102" s="33">
        <f>IF(C102=1,MIN('Your paths'!D64,E102*(1+'Your paths'!D62)),0)</f>
        <v>2213.89181714195</v>
      </c>
      <c r="G102" s="33">
        <f>E102*'Your paths'!D62</f>
        <v>1406.49684814502</v>
      </c>
      <c r="H102" s="33">
        <f>MAX(0,E102+G102-F102)</f>
        <v>377759.460405216</v>
      </c>
      <c r="I102" s="33">
        <f>IF(C102=0,0,IF(AND(B102='Your paths'!D61,'Your paths'!D36&lt;&gt;"Rent"),'Your paths'!D41,I101)*(1+'Your paths'!$C$31)^(1/12))</f>
        <v>524509.976024523</v>
      </c>
      <c r="J102" s="33">
        <f>(D102+F102+IF(C102=1,('Your paths'!D45/12+'Your paths'!D46+'Your paths'!D47)*(1+'Your paths'!$C$21)^INT((B102-1)/12),0))*'Your paths'!$C$32</f>
        <v>3086.09381714195</v>
      </c>
      <c r="K102" s="33">
        <f>('Your paths'!$C$9+'Your paths'!D49)*(1+'Your paths'!$C$24)^INT((B102-1)/12)</f>
        <v>7282.8</v>
      </c>
      <c r="L102" s="33">
        <f>('Your paths'!$C$10+'Your paths'!D48)*(1+'Your paths'!$C$21)^INT((B102-1)/12)</f>
        <v>2080.8</v>
      </c>
      <c r="M102" s="33">
        <f>IF('Your paths'!D39="",'Your paths'!$C$12,'Your paths'!D39)+IF(AND('Your paths'!D55="Yes",C102=1,B102&gt;='Your paths'!D57),'Your paths'!D56,0)</f>
        <v>700</v>
      </c>
      <c r="N102" s="33">
        <f>N101+MAX(0,N101)*((1+'Your paths'!$C$29)^(1/12)-1)+Q102-P102+R102</f>
        <v>38978.329006678</v>
      </c>
      <c r="O102" s="33">
        <f>(O101-R102)*(1+'Your paths'!$C$30)^(1/12)+M102</f>
        <v>47094.7888155849</v>
      </c>
      <c r="P102" s="33">
        <f>IF(AND(B102='Your paths'!D61,'Your paths'!D36&lt;&gt;"Rent"),'Your paths'!D42+'Your paths'!D65+IF('Your paths'!D36="Rent then buy",'Your paths'!D38,0),0)</f>
        <v>0</v>
      </c>
      <c r="Q102" s="33">
        <f>K102-SUM(J102,L102,M102)</f>
        <v>1415.90618285805</v>
      </c>
      <c r="R102" s="33">
        <f>IF(P102&gt;0,MIN(MAX(0,P102-N101),MAX(0,O101)),0)</f>
        <v>0</v>
      </c>
      <c r="S102" s="2">
        <f>IF(P102&gt;0,MAX(0,P102-N101-O101),0)</f>
        <v>0</v>
      </c>
    </row>
    <row r="103" ht="27" customHeight="1">
      <c r="A103" s="3" t="n"/>
      <c r="B103" s="3" t="n">
        <v>30</v>
      </c>
      <c r="C103" s="3">
        <f>IF(B103&gt;='Your paths'!D61,1,0)</f>
        <v>1</v>
      </c>
      <c r="D103" s="33">
        <f>IF(C103=1,0,'Your paths'!D37*(1+'Your paths'!$C$20)^INT((B103-1)/12))</f>
        <v>0</v>
      </c>
      <c r="E103" s="33">
        <f>IF(AND(B103='Your paths'!D61,'Your paths'!D36&lt;&gt;"Rent"),'Your paths'!D63,H102)</f>
        <v>377759.460405216</v>
      </c>
      <c r="F103" s="33">
        <f>IF(C103=1,MIN('Your paths'!D64,E103*(1+'Your paths'!D62)),0)</f>
        <v>2213.89181714195</v>
      </c>
      <c r="G103" s="33">
        <f>E103*'Your paths'!D62</f>
        <v>1403.4971178121</v>
      </c>
      <c r="H103" s="33">
        <f>MAX(0,E103+G103-F103)</f>
        <v>376949.065705886</v>
      </c>
      <c r="I103" s="33">
        <f>IF(C103=0,0,IF(AND(B103='Your paths'!D61,'Your paths'!D36&lt;&gt;"Rent"),'Your paths'!D41,I102)*(1+'Your paths'!$C$31)^(1/12))</f>
        <v>525376.246893596</v>
      </c>
      <c r="J103" s="33">
        <f>(D103+F103+IF(C103=1,('Your paths'!D45/12+'Your paths'!D46+'Your paths'!D47)*(1+'Your paths'!$C$21)^INT((B103-1)/12),0))*'Your paths'!$C$32</f>
        <v>3086.09381714195</v>
      </c>
      <c r="K103" s="33">
        <f>('Your paths'!$C$9+'Your paths'!D49)*(1+'Your paths'!$C$24)^INT((B103-1)/12)</f>
        <v>7282.8</v>
      </c>
      <c r="L103" s="33">
        <f>('Your paths'!$C$10+'Your paths'!D48)*(1+'Your paths'!$C$21)^INT((B103-1)/12)</f>
        <v>2080.8</v>
      </c>
      <c r="M103" s="33">
        <f>IF('Your paths'!D39="",'Your paths'!$C$12,'Your paths'!D39)+IF(AND('Your paths'!D55="Yes",C103=1,B103&gt;='Your paths'!D57),'Your paths'!D56,0)</f>
        <v>700</v>
      </c>
      <c r="N103" s="33">
        <f>N102+MAX(0,N102)*((1+'Your paths'!$C$29)^(1/12)-1)+Q103-P103+R103</f>
        <v>40458.6110689035</v>
      </c>
      <c r="O103" s="33">
        <f>(O102-R103)*(1+'Your paths'!$C$30)^(1/12)+M103</f>
        <v>47948.9648992647</v>
      </c>
      <c r="P103" s="33">
        <f>IF(AND(B103='Your paths'!D61,'Your paths'!D36&lt;&gt;"Rent"),'Your paths'!D42+'Your paths'!D65+IF('Your paths'!D36="Rent then buy",'Your paths'!D38,0),0)</f>
        <v>0</v>
      </c>
      <c r="Q103" s="33">
        <f>K103-SUM(J103,L103,M103)</f>
        <v>1415.90618285805</v>
      </c>
      <c r="R103" s="33">
        <f>IF(P103&gt;0,MIN(MAX(0,P103-N102),MAX(0,O102)),0)</f>
        <v>0</v>
      </c>
      <c r="S103" s="2">
        <f>IF(P103&gt;0,MAX(0,P103-N102-O102),0)</f>
        <v>0</v>
      </c>
    </row>
    <row r="104" ht="27" customHeight="1">
      <c r="A104" s="3" t="n"/>
      <c r="B104" s="3" t="n">
        <v>31</v>
      </c>
      <c r="C104" s="3">
        <f>IF(B104&gt;='Your paths'!D61,1,0)</f>
        <v>1</v>
      </c>
      <c r="D104" s="33">
        <f>IF(C104=1,0,'Your paths'!D37*(1+'Your paths'!$C$20)^INT((B104-1)/12))</f>
        <v>0</v>
      </c>
      <c r="E104" s="33">
        <f>IF(AND(B104='Your paths'!D61,'Your paths'!D36&lt;&gt;"Rent"),'Your paths'!D63,H103)</f>
        <v>376949.065705886</v>
      </c>
      <c r="F104" s="33">
        <f>IF(C104=1,MIN('Your paths'!D64,E104*(1+'Your paths'!D62)),0)</f>
        <v>2213.89181714195</v>
      </c>
      <c r="G104" s="33">
        <f>E104*'Your paths'!D62</f>
        <v>1400.48624252236</v>
      </c>
      <c r="H104" s="33">
        <f>MAX(0,E104+G104-F104)</f>
        <v>376135.660131267</v>
      </c>
      <c r="I104" s="33">
        <f>IF(C104=0,0,IF(AND(B104='Your paths'!D61,'Your paths'!D36&lt;&gt;"Rent"),'Your paths'!D41,I103)*(1+'Your paths'!$C$31)^(1/12))</f>
        <v>526243.948479439</v>
      </c>
      <c r="J104" s="33">
        <f>(D104+F104+IF(C104=1,('Your paths'!D45/12+'Your paths'!D46+'Your paths'!D47)*(1+'Your paths'!$C$21)^INT((B104-1)/12),0))*'Your paths'!$C$32</f>
        <v>3086.09381714195</v>
      </c>
      <c r="K104" s="33">
        <f>('Your paths'!$C$9+'Your paths'!D49)*(1+'Your paths'!$C$24)^INT((B104-1)/12)</f>
        <v>7282.8</v>
      </c>
      <c r="L104" s="33">
        <f>('Your paths'!$C$10+'Your paths'!D48)*(1+'Your paths'!$C$21)^INT((B104-1)/12)</f>
        <v>2080.8</v>
      </c>
      <c r="M104" s="33">
        <f>IF('Your paths'!D39="",'Your paths'!$C$12,'Your paths'!D39)+IF(AND('Your paths'!D55="Yes",C104=1,B104&gt;='Your paths'!D57),'Your paths'!D56,0)</f>
        <v>700</v>
      </c>
      <c r="N104" s="33">
        <f>N103+MAX(0,N103)*((1+'Your paths'!$C$29)^(1/12)-1)+Q104-P104+R104</f>
        <v>41941.3379373046</v>
      </c>
      <c r="O104" s="33">
        <f>(O103-R104)*(1+'Your paths'!$C$30)^(1/12)+M104</f>
        <v>48805.9373331707</v>
      </c>
      <c r="P104" s="33">
        <f>IF(AND(B104='Your paths'!D61,'Your paths'!D36&lt;&gt;"Rent"),'Your paths'!D42+'Your paths'!D65+IF('Your paths'!D36="Rent then buy",'Your paths'!D38,0),0)</f>
        <v>0</v>
      </c>
      <c r="Q104" s="33">
        <f>K104-SUM(J104,L104,M104)</f>
        <v>1415.90618285805</v>
      </c>
      <c r="R104" s="33">
        <f>IF(P104&gt;0,MIN(MAX(0,P104-N103),MAX(0,O103)),0)</f>
        <v>0</v>
      </c>
      <c r="S104" s="2">
        <f>IF(P104&gt;0,MAX(0,P104-N103-O103),0)</f>
        <v>0</v>
      </c>
    </row>
    <row r="105" ht="27" customHeight="1">
      <c r="A105" s="3" t="n"/>
      <c r="B105" s="3" t="n">
        <v>32</v>
      </c>
      <c r="C105" s="3">
        <f>IF(B105&gt;='Your paths'!D61,1,0)</f>
        <v>1</v>
      </c>
      <c r="D105" s="33">
        <f>IF(C105=1,0,'Your paths'!D37*(1+'Your paths'!$C$20)^INT((B105-1)/12))</f>
        <v>0</v>
      </c>
      <c r="E105" s="33">
        <f>IF(AND(B105='Your paths'!D61,'Your paths'!D36&lt;&gt;"Rent"),'Your paths'!D63,H104)</f>
        <v>376135.660131267</v>
      </c>
      <c r="F105" s="33">
        <f>IF(C105=1,MIN('Your paths'!D64,E105*(1+'Your paths'!D62)),0)</f>
        <v>2213.89181714195</v>
      </c>
      <c r="G105" s="33">
        <f>E105*'Your paths'!D62</f>
        <v>1397.46418086872</v>
      </c>
      <c r="H105" s="33">
        <f>MAX(0,E105+G105-F105)</f>
        <v>375319.232494993</v>
      </c>
      <c r="I105" s="33">
        <f>IF(C105=0,0,IF(AND(B105='Your paths'!D61,'Your paths'!D36&lt;&gt;"Rent"),'Your paths'!D41,I104)*(1+'Your paths'!$C$31)^(1/12))</f>
        <v>527113.083144996</v>
      </c>
      <c r="J105" s="33">
        <f>(D105+F105+IF(C105=1,('Your paths'!D45/12+'Your paths'!D46+'Your paths'!D47)*(1+'Your paths'!$C$21)^INT((B105-1)/12),0))*'Your paths'!$C$32</f>
        <v>3086.09381714195</v>
      </c>
      <c r="K105" s="33">
        <f>('Your paths'!$C$9+'Your paths'!D49)*(1+'Your paths'!$C$24)^INT((B105-1)/12)</f>
        <v>7282.8</v>
      </c>
      <c r="L105" s="33">
        <f>('Your paths'!$C$10+'Your paths'!D48)*(1+'Your paths'!$C$21)^INT((B105-1)/12)</f>
        <v>2080.8</v>
      </c>
      <c r="M105" s="33">
        <f>IF('Your paths'!D39="",'Your paths'!$C$12,'Your paths'!D39)+IF(AND('Your paths'!D55="Yes",C105=1,B105&gt;='Your paths'!D57),'Your paths'!D56,0)</f>
        <v>700</v>
      </c>
      <c r="N105" s="33">
        <f>N104+MAX(0,N104)*((1+'Your paths'!$C$29)^(1/12)-1)+Q105-P105+R105</f>
        <v>43426.5136496775</v>
      </c>
      <c r="O105" s="33">
        <f>(O104-R105)*(1+'Your paths'!$C$30)^(1/12)+M105</f>
        <v>49665.7152718258</v>
      </c>
      <c r="P105" s="33">
        <f>IF(AND(B105='Your paths'!D61,'Your paths'!D36&lt;&gt;"Rent"),'Your paths'!D42+'Your paths'!D65+IF('Your paths'!D36="Rent then buy",'Your paths'!D38,0),0)</f>
        <v>0</v>
      </c>
      <c r="Q105" s="33">
        <f>K105-SUM(J105,L105,M105)</f>
        <v>1415.90618285805</v>
      </c>
      <c r="R105" s="33">
        <f>IF(P105&gt;0,MIN(MAX(0,P105-N104),MAX(0,O104)),0)</f>
        <v>0</v>
      </c>
      <c r="S105" s="2">
        <f>IF(P105&gt;0,MAX(0,P105-N104-O104),0)</f>
        <v>0</v>
      </c>
    </row>
    <row r="106" ht="27" customHeight="1">
      <c r="A106" s="3" t="n"/>
      <c r="B106" s="3" t="n">
        <v>33</v>
      </c>
      <c r="C106" s="3">
        <f>IF(B106&gt;='Your paths'!D61,1,0)</f>
        <v>1</v>
      </c>
      <c r="D106" s="33">
        <f>IF(C106=1,0,'Your paths'!D37*(1+'Your paths'!$C$20)^INT((B106-1)/12))</f>
        <v>0</v>
      </c>
      <c r="E106" s="33">
        <f>IF(AND(B106='Your paths'!D61,'Your paths'!D36&lt;&gt;"Rent"),'Your paths'!D63,H105)</f>
        <v>375319.232494993</v>
      </c>
      <c r="F106" s="33">
        <f>IF(C106=1,MIN('Your paths'!D64,E106*(1+'Your paths'!D62)),0)</f>
        <v>2213.89181714195</v>
      </c>
      <c r="G106" s="33">
        <f>E106*'Your paths'!D62</f>
        <v>1394.43089129026</v>
      </c>
      <c r="H106" s="33">
        <f>MAX(0,E106+G106-F106)</f>
        <v>374499.771569142</v>
      </c>
      <c r="I106" s="33">
        <f>IF(C106=0,0,IF(AND(B106='Your paths'!D61,'Your paths'!D36&lt;&gt;"Rent"),'Your paths'!D41,I105)*(1+'Your paths'!$C$31)^(1/12))</f>
        <v>527983.653257116</v>
      </c>
      <c r="J106" s="33">
        <f>(D106+F106+IF(C106=1,('Your paths'!D45/12+'Your paths'!D46+'Your paths'!D47)*(1+'Your paths'!$C$21)^INT((B106-1)/12),0))*'Your paths'!$C$32</f>
        <v>3086.09381714195</v>
      </c>
      <c r="K106" s="33">
        <f>('Your paths'!$C$9+'Your paths'!D49)*(1+'Your paths'!$C$24)^INT((B106-1)/12)</f>
        <v>7282.8</v>
      </c>
      <c r="L106" s="33">
        <f>('Your paths'!$C$10+'Your paths'!D48)*(1+'Your paths'!$C$21)^INT((B106-1)/12)</f>
        <v>2080.8</v>
      </c>
      <c r="M106" s="33">
        <f>IF('Your paths'!D39="",'Your paths'!$C$12,'Your paths'!D39)+IF(AND('Your paths'!D55="Yes",C106=1,B106&gt;='Your paths'!D57),'Your paths'!D56,0)</f>
        <v>700</v>
      </c>
      <c r="N106" s="33">
        <f>N105+MAX(0,N105)*((1+'Your paths'!$C$29)^(1/12)-1)+Q106-P106+R106</f>
        <v>44914.1422504869</v>
      </c>
      <c r="O106" s="33">
        <f>(O105-R106)*(1+'Your paths'!$C$30)^(1/12)+M106</f>
        <v>50528.3078997225</v>
      </c>
      <c r="P106" s="33">
        <f>IF(AND(B106='Your paths'!D61,'Your paths'!D36&lt;&gt;"Rent"),'Your paths'!D42+'Your paths'!D65+IF('Your paths'!D36="Rent then buy",'Your paths'!D38,0),0)</f>
        <v>0</v>
      </c>
      <c r="Q106" s="33">
        <f>K106-SUM(J106,L106,M106)</f>
        <v>1415.90618285805</v>
      </c>
      <c r="R106" s="33">
        <f>IF(P106&gt;0,MIN(MAX(0,P106-N105),MAX(0,O105)),0)</f>
        <v>0</v>
      </c>
      <c r="S106" s="2">
        <f>IF(P106&gt;0,MAX(0,P106-N105-O105),0)</f>
        <v>0</v>
      </c>
    </row>
    <row r="107" ht="27" customHeight="1">
      <c r="A107" s="3" t="n"/>
      <c r="B107" s="3" t="n">
        <v>34</v>
      </c>
      <c r="C107" s="3">
        <f>IF(B107&gt;='Your paths'!D61,1,0)</f>
        <v>1</v>
      </c>
      <c r="D107" s="33">
        <f>IF(C107=1,0,'Your paths'!D37*(1+'Your paths'!$C$20)^INT((B107-1)/12))</f>
        <v>0</v>
      </c>
      <c r="E107" s="33">
        <f>IF(AND(B107='Your paths'!D61,'Your paths'!D36&lt;&gt;"Rent"),'Your paths'!D63,H106)</f>
        <v>374499.771569142</v>
      </c>
      <c r="F107" s="33">
        <f>IF(C107=1,MIN('Your paths'!D64,E107*(1+'Your paths'!D62)),0)</f>
        <v>2213.89181714195</v>
      </c>
      <c r="G107" s="33">
        <f>E107*'Your paths'!D62</f>
        <v>1391.38633207166</v>
      </c>
      <c r="H107" s="33">
        <f>MAX(0,E107+G107-F107)</f>
        <v>373677.266084071</v>
      </c>
      <c r="I107" s="33">
        <f>IF(C107=0,0,IF(AND(B107='Your paths'!D61,'Your paths'!D36&lt;&gt;"Rent"),'Your paths'!D41,I106)*(1+'Your paths'!$C$31)^(1/12))</f>
        <v>528855.661186555</v>
      </c>
      <c r="J107" s="33">
        <f>(D107+F107+IF(C107=1,('Your paths'!D45/12+'Your paths'!D46+'Your paths'!D47)*(1+'Your paths'!$C$21)^INT((B107-1)/12),0))*'Your paths'!$C$32</f>
        <v>3086.09381714195</v>
      </c>
      <c r="K107" s="33">
        <f>('Your paths'!$C$9+'Your paths'!D49)*(1+'Your paths'!$C$24)^INT((B107-1)/12)</f>
        <v>7282.8</v>
      </c>
      <c r="L107" s="33">
        <f>('Your paths'!$C$10+'Your paths'!D48)*(1+'Your paths'!$C$21)^INT((B107-1)/12)</f>
        <v>2080.8</v>
      </c>
      <c r="M107" s="33">
        <f>IF('Your paths'!D39="",'Your paths'!$C$12,'Your paths'!D39)+IF(AND('Your paths'!D55="Yes",C107=1,B107&gt;='Your paths'!D57),'Your paths'!D56,0)</f>
        <v>700</v>
      </c>
      <c r="N107" s="33">
        <f>N106+MAX(0,N106)*((1+'Your paths'!$C$29)^(1/12)-1)+Q107-P107+R107</f>
        <v>46404.2277908776</v>
      </c>
      <c r="O107" s="33">
        <f>(O106-R107)*(1+'Your paths'!$C$30)^(1/12)+M107</f>
        <v>51393.724431421</v>
      </c>
      <c r="P107" s="33">
        <f>IF(AND(B107='Your paths'!D61,'Your paths'!D36&lt;&gt;"Rent"),'Your paths'!D42+'Your paths'!D65+IF('Your paths'!D36="Rent then buy",'Your paths'!D38,0),0)</f>
        <v>0</v>
      </c>
      <c r="Q107" s="33">
        <f>K107-SUM(J107,L107,M107)</f>
        <v>1415.90618285805</v>
      </c>
      <c r="R107" s="33">
        <f>IF(P107&gt;0,MIN(MAX(0,P107-N106),MAX(0,O106)),0)</f>
        <v>0</v>
      </c>
      <c r="S107" s="2">
        <f>IF(P107&gt;0,MAX(0,P107-N106-O106),0)</f>
        <v>0</v>
      </c>
    </row>
    <row r="108" ht="27" customHeight="1">
      <c r="A108" s="3" t="n"/>
      <c r="B108" s="3" t="n">
        <v>35</v>
      </c>
      <c r="C108" s="3">
        <f>IF(B108&gt;='Your paths'!D61,1,0)</f>
        <v>1</v>
      </c>
      <c r="D108" s="33">
        <f>IF(C108=1,0,'Your paths'!D37*(1+'Your paths'!$C$20)^INT((B108-1)/12))</f>
        <v>0</v>
      </c>
      <c r="E108" s="33">
        <f>IF(AND(B108='Your paths'!D61,'Your paths'!D36&lt;&gt;"Rent"),'Your paths'!D63,H107)</f>
        <v>373677.266084071</v>
      </c>
      <c r="F108" s="33">
        <f>IF(C108=1,MIN('Your paths'!D64,E108*(1+'Your paths'!D62)),0)</f>
        <v>2213.89181714195</v>
      </c>
      <c r="G108" s="33">
        <f>E108*'Your paths'!D62</f>
        <v>1388.33046134259</v>
      </c>
      <c r="H108" s="33">
        <f>MAX(0,E108+G108-F108)</f>
        <v>372851.704728272</v>
      </c>
      <c r="I108" s="33">
        <f>IF(C108=0,0,IF(AND(B108='Your paths'!D61,'Your paths'!D36&lt;&gt;"Rent"),'Your paths'!D41,I107)*(1+'Your paths'!$C$31)^(1/12))</f>
        <v>529729.109307985</v>
      </c>
      <c r="J108" s="33">
        <f>(D108+F108+IF(C108=1,('Your paths'!D45/12+'Your paths'!D46+'Your paths'!D47)*(1+'Your paths'!$C$21)^INT((B108-1)/12),0))*'Your paths'!$C$32</f>
        <v>3086.09381714195</v>
      </c>
      <c r="K108" s="33">
        <f>('Your paths'!$C$9+'Your paths'!D49)*(1+'Your paths'!$C$24)^INT((B108-1)/12)</f>
        <v>7282.8</v>
      </c>
      <c r="L108" s="33">
        <f>('Your paths'!$C$10+'Your paths'!D48)*(1+'Your paths'!$C$21)^INT((B108-1)/12)</f>
        <v>2080.8</v>
      </c>
      <c r="M108" s="33">
        <f>IF('Your paths'!D39="",'Your paths'!$C$12,'Your paths'!D39)+IF(AND('Your paths'!D55="Yes",C108=1,B108&gt;='Your paths'!D57),'Your paths'!D56,0)</f>
        <v>700</v>
      </c>
      <c r="N108" s="33">
        <f>N107+MAX(0,N107)*((1+'Your paths'!$C$29)^(1/12)-1)+Q108-P108+R108</f>
        <v>47896.7743286851</v>
      </c>
      <c r="O108" s="33">
        <f>(O107-R108)*(1+'Your paths'!$C$30)^(1/12)+M108</f>
        <v>52261.9741116475</v>
      </c>
      <c r="P108" s="33">
        <f>IF(AND(B108='Your paths'!D61,'Your paths'!D36&lt;&gt;"Rent"),'Your paths'!D42+'Your paths'!D65+IF('Your paths'!D36="Rent then buy",'Your paths'!D38,0),0)</f>
        <v>0</v>
      </c>
      <c r="Q108" s="33">
        <f>K108-SUM(J108,L108,M108)</f>
        <v>1415.90618285805</v>
      </c>
      <c r="R108" s="33">
        <f>IF(P108&gt;0,MIN(MAX(0,P108-N107),MAX(0,O107)),0)</f>
        <v>0</v>
      </c>
      <c r="S108" s="2">
        <f>IF(P108&gt;0,MAX(0,P108-N107-O107),0)</f>
        <v>0</v>
      </c>
    </row>
    <row r="109" ht="27" customHeight="1">
      <c r="A109" s="3" t="n"/>
      <c r="B109" s="3" t="n">
        <v>36</v>
      </c>
      <c r="C109" s="3">
        <f>IF(B109&gt;='Your paths'!D61,1,0)</f>
        <v>1</v>
      </c>
      <c r="D109" s="33">
        <f>IF(C109=1,0,'Your paths'!D37*(1+'Your paths'!$C$20)^INT((B109-1)/12))</f>
        <v>0</v>
      </c>
      <c r="E109" s="33">
        <f>IF(AND(B109='Your paths'!D61,'Your paths'!D36&lt;&gt;"Rent"),'Your paths'!D63,H108)</f>
        <v>372851.704728272</v>
      </c>
      <c r="F109" s="33">
        <f>IF(C109=1,MIN('Your paths'!D64,E109*(1+'Your paths'!D62)),0)</f>
        <v>2213.89181714195</v>
      </c>
      <c r="G109" s="33">
        <f>E109*'Your paths'!D62</f>
        <v>1385.26323707718</v>
      </c>
      <c r="H109" s="33">
        <f>MAX(0,E109+G109-F109)</f>
        <v>372023.076148207</v>
      </c>
      <c r="I109" s="33">
        <f>IF(C109=0,0,IF(AND(B109='Your paths'!D61,'Your paths'!D36&lt;&gt;"Rent"),'Your paths'!D41,I108)*(1+'Your paths'!$C$31)^(1/12))</f>
        <v>530604.000000001</v>
      </c>
      <c r="J109" s="33">
        <f>(D109+F109+IF(C109=1,('Your paths'!D45/12+'Your paths'!D46+'Your paths'!D47)*(1+'Your paths'!$C$21)^INT((B109-1)/12),0))*'Your paths'!$C$32</f>
        <v>3086.09381714195</v>
      </c>
      <c r="K109" s="33">
        <f>('Your paths'!$C$9+'Your paths'!D49)*(1+'Your paths'!$C$24)^INT((B109-1)/12)</f>
        <v>7282.8</v>
      </c>
      <c r="L109" s="33">
        <f>('Your paths'!$C$10+'Your paths'!D48)*(1+'Your paths'!$C$21)^INT((B109-1)/12)</f>
        <v>2080.8</v>
      </c>
      <c r="M109" s="33">
        <f>IF('Your paths'!D39="",'Your paths'!$C$12,'Your paths'!D39)+IF(AND('Your paths'!D55="Yes",C109=1,B109&gt;='Your paths'!D57),'Your paths'!D56,0)</f>
        <v>700</v>
      </c>
      <c r="N109" s="33">
        <f>N108+MAX(0,N108)*((1+'Your paths'!$C$29)^(1/12)-1)+Q109-P109+R109</f>
        <v>49391.7859284467</v>
      </c>
      <c r="O109" s="33">
        <f>(O108-R109)*(1+'Your paths'!$C$30)^(1/12)+M109</f>
        <v>53133.0662153931</v>
      </c>
      <c r="P109" s="33">
        <f>IF(AND(B109='Your paths'!D61,'Your paths'!D36&lt;&gt;"Rent"),'Your paths'!D42+'Your paths'!D65+IF('Your paths'!D36="Rent then buy",'Your paths'!D38,0),0)</f>
        <v>0</v>
      </c>
      <c r="Q109" s="33">
        <f>K109-SUM(J109,L109,M109)</f>
        <v>1415.90618285805</v>
      </c>
      <c r="R109" s="33">
        <f>IF(P109&gt;0,MIN(MAX(0,P109-N108),MAX(0,O108)),0)</f>
        <v>0</v>
      </c>
      <c r="S109" s="2">
        <f>IF(P109&gt;0,MAX(0,P109-N108-O108),0)</f>
        <v>0</v>
      </c>
    </row>
    <row r="110" ht="27" customHeight="1">
      <c r="A110" s="3" t="n"/>
      <c r="B110" s="3" t="n">
        <v>37</v>
      </c>
      <c r="C110" s="3">
        <f>IF(B110&gt;='Your paths'!D61,1,0)</f>
        <v>1</v>
      </c>
      <c r="D110" s="33">
        <f>IF(C110=1,0,'Your paths'!D37*(1+'Your paths'!$C$20)^INT((B110-1)/12))</f>
        <v>0</v>
      </c>
      <c r="E110" s="33">
        <f>IF(AND(B110='Your paths'!D61,'Your paths'!D36&lt;&gt;"Rent"),'Your paths'!D63,H109)</f>
        <v>372023.076148207</v>
      </c>
      <c r="F110" s="33">
        <f>IF(C110=1,MIN('Your paths'!D64,E110*(1+'Your paths'!D62)),0)</f>
        <v>2213.89181714195</v>
      </c>
      <c r="G110" s="33">
        <f>E110*'Your paths'!D62</f>
        <v>1382.18461709342</v>
      </c>
      <c r="H110" s="33">
        <f>MAX(0,E110+G110-F110)</f>
        <v>371191.368948159</v>
      </c>
      <c r="I110" s="33">
        <f>IF(C110=0,0,IF(AND(B110='Your paths'!D61,'Your paths'!D36&lt;&gt;"Rent"),'Your paths'!D41,I109)*(1+'Your paths'!$C$31)^(1/12))</f>
        <v>531480.335645125</v>
      </c>
      <c r="J110" s="33">
        <f>(D110+F110+IF(C110=1,('Your paths'!D45/12+'Your paths'!D46+'Your paths'!D47)*(1+'Your paths'!$C$21)^INT((B110-1)/12),0))*'Your paths'!$C$32</f>
        <v>3103.53785714195</v>
      </c>
      <c r="K110" s="33">
        <f>('Your paths'!$C$9+'Your paths'!D49)*(1+'Your paths'!$C$24)^INT((B110-1)/12)</f>
        <v>7428.456</v>
      </c>
      <c r="L110" s="33">
        <f>('Your paths'!$C$10+'Your paths'!D48)*(1+'Your paths'!$C$21)^INT((B110-1)/12)</f>
        <v>2122.416</v>
      </c>
      <c r="M110" s="33">
        <f>IF('Your paths'!D39="",'Your paths'!$C$12,'Your paths'!D39)+IF(AND('Your paths'!D55="Yes",C110=1,B110&gt;='Your paths'!D57),'Your paths'!D56,0)</f>
        <v>700</v>
      </c>
      <c r="N110" s="33">
        <f>N109+MAX(0,N109)*((1+'Your paths'!$C$29)^(1/12)-1)+Q110-P110+R110</f>
        <v>50975.8626214126</v>
      </c>
      <c r="O110" s="33">
        <f>(O109-R110)*(1+'Your paths'!$C$30)^(1/12)+M110</f>
        <v>54007.0100480126</v>
      </c>
      <c r="P110" s="33">
        <f>IF(AND(B110='Your paths'!D61,'Your paths'!D36&lt;&gt;"Rent"),'Your paths'!D42+'Your paths'!D65+IF('Your paths'!D36="Rent then buy",'Your paths'!D38,0),0)</f>
        <v>0</v>
      </c>
      <c r="Q110" s="33">
        <f>K110-SUM(J110,L110,M110)</f>
        <v>1502.50214285805</v>
      </c>
      <c r="R110" s="33">
        <f>IF(P110&gt;0,MIN(MAX(0,P110-N109),MAX(0,O109)),0)</f>
        <v>0</v>
      </c>
      <c r="S110" s="2">
        <f>IF(P110&gt;0,MAX(0,P110-N109-O109),0)</f>
        <v>0</v>
      </c>
    </row>
    <row r="111" ht="27" customHeight="1">
      <c r="A111" s="3" t="n"/>
      <c r="B111" s="3" t="n">
        <v>38</v>
      </c>
      <c r="C111" s="3">
        <f>IF(B111&gt;='Your paths'!D61,1,0)</f>
        <v>1</v>
      </c>
      <c r="D111" s="33">
        <f>IF(C111=1,0,'Your paths'!D37*(1+'Your paths'!$C$20)^INT((B111-1)/12))</f>
        <v>0</v>
      </c>
      <c r="E111" s="33">
        <f>IF(AND(B111='Your paths'!D61,'Your paths'!D36&lt;&gt;"Rent"),'Your paths'!D63,H110)</f>
        <v>371191.368948159</v>
      </c>
      <c r="F111" s="33">
        <f>IF(C111=1,MIN('Your paths'!D64,E111*(1+'Your paths'!D62)),0)</f>
        <v>2213.89181714195</v>
      </c>
      <c r="G111" s="33">
        <f>E111*'Your paths'!D62</f>
        <v>1379.09455905257</v>
      </c>
      <c r="H111" s="33">
        <f>MAX(0,E111+G111-F111)</f>
        <v>370356.571690069</v>
      </c>
      <c r="I111" s="33">
        <f>IF(C111=0,0,IF(AND(B111='Your paths'!D61,'Your paths'!D36&lt;&gt;"Rent"),'Your paths'!D41,I110)*(1+'Your paths'!$C$31)^(1/12))</f>
        <v>532358.118629815</v>
      </c>
      <c r="J111" s="33">
        <f>(D111+F111+IF(C111=1,('Your paths'!D45/12+'Your paths'!D46+'Your paths'!D47)*(1+'Your paths'!$C$21)^INT((B111-1)/12),0))*'Your paths'!$C$32</f>
        <v>3103.53785714195</v>
      </c>
      <c r="K111" s="33">
        <f>('Your paths'!$C$9+'Your paths'!D49)*(1+'Your paths'!$C$24)^INT((B111-1)/12)</f>
        <v>7428.456</v>
      </c>
      <c r="L111" s="33">
        <f>('Your paths'!$C$10+'Your paths'!D48)*(1+'Your paths'!$C$21)^INT((B111-1)/12)</f>
        <v>2122.416</v>
      </c>
      <c r="M111" s="33">
        <f>IF('Your paths'!D39="",'Your paths'!$C$12,'Your paths'!D39)+IF(AND('Your paths'!D55="Yes",C111=1,B111&gt;='Your paths'!D57),'Your paths'!D56,0)</f>
        <v>700</v>
      </c>
      <c r="N111" s="33">
        <f>N110+MAX(0,N110)*((1+'Your paths'!$C$29)^(1/12)-1)+Q111-P111+R111</f>
        <v>52562.5555458255</v>
      </c>
      <c r="O111" s="33">
        <f>(O110-R111)*(1+'Your paths'!$C$30)^(1/12)+M111</f>
        <v>54883.8149453244</v>
      </c>
      <c r="P111" s="33">
        <f>IF(AND(B111='Your paths'!D61,'Your paths'!D36&lt;&gt;"Rent"),'Your paths'!D42+'Your paths'!D65+IF('Your paths'!D36="Rent then buy",'Your paths'!D38,0),0)</f>
        <v>0</v>
      </c>
      <c r="Q111" s="33">
        <f>K111-SUM(J111,L111,M111)</f>
        <v>1502.50214285805</v>
      </c>
      <c r="R111" s="33">
        <f>IF(P111&gt;0,MIN(MAX(0,P111-N110),MAX(0,O110)),0)</f>
        <v>0</v>
      </c>
      <c r="S111" s="2">
        <f>IF(P111&gt;0,MAX(0,P111-N110-O110),0)</f>
        <v>0</v>
      </c>
    </row>
    <row r="112" ht="27" customHeight="1">
      <c r="A112" s="3" t="n"/>
      <c r="B112" s="3" t="n">
        <v>39</v>
      </c>
      <c r="C112" s="3">
        <f>IF(B112&gt;='Your paths'!D61,1,0)</f>
        <v>1</v>
      </c>
      <c r="D112" s="33">
        <f>IF(C112=1,0,'Your paths'!D37*(1+'Your paths'!$C$20)^INT((B112-1)/12))</f>
        <v>0</v>
      </c>
      <c r="E112" s="33">
        <f>IF(AND(B112='Your paths'!D61,'Your paths'!D36&lt;&gt;"Rent"),'Your paths'!D63,H111)</f>
        <v>370356.571690069</v>
      </c>
      <c r="F112" s="33">
        <f>IF(C112=1,MIN('Your paths'!D64,E112*(1+'Your paths'!D62)),0)</f>
        <v>2213.89181714195</v>
      </c>
      <c r="G112" s="33">
        <f>E112*'Your paths'!D62</f>
        <v>1375.9930204586</v>
      </c>
      <c r="H112" s="33">
        <f>MAX(0,E112+G112-F112)</f>
        <v>369518.672893386</v>
      </c>
      <c r="I112" s="33">
        <f>IF(C112=0,0,IF(AND(B112='Your paths'!D61,'Your paths'!D36&lt;&gt;"Rent"),'Your paths'!D41,I111)*(1+'Your paths'!$C$31)^(1/12))</f>
        <v>533237.351344469</v>
      </c>
      <c r="J112" s="33">
        <f>(D112+F112+IF(C112=1,('Your paths'!D45/12+'Your paths'!D46+'Your paths'!D47)*(1+'Your paths'!$C$21)^INT((B112-1)/12),0))*'Your paths'!$C$32</f>
        <v>3103.53785714195</v>
      </c>
      <c r="K112" s="33">
        <f>('Your paths'!$C$9+'Your paths'!D49)*(1+'Your paths'!$C$24)^INT((B112-1)/12)</f>
        <v>7428.456</v>
      </c>
      <c r="L112" s="33">
        <f>('Your paths'!$C$10+'Your paths'!D48)*(1+'Your paths'!$C$21)^INT((B112-1)/12)</f>
        <v>2122.416</v>
      </c>
      <c r="M112" s="33">
        <f>IF('Your paths'!D39="",'Your paths'!$C$12,'Your paths'!D39)+IF(AND('Your paths'!D55="Yes",C112=1,B112&gt;='Your paths'!D57),'Your paths'!D56,0)</f>
        <v>700</v>
      </c>
      <c r="N112" s="33">
        <f>N111+MAX(0,N111)*((1+'Your paths'!$C$29)^(1/12)-1)+Q112-P112+R112</f>
        <v>54151.8690226041</v>
      </c>
      <c r="O112" s="33">
        <f>(O111-R112)*(1+'Your paths'!$C$30)^(1/12)+M112</f>
        <v>55763.4902737098</v>
      </c>
      <c r="P112" s="33">
        <f>IF(AND(B112='Your paths'!D61,'Your paths'!D36&lt;&gt;"Rent"),'Your paths'!D42+'Your paths'!D65+IF('Your paths'!D36="Rent then buy",'Your paths'!D38,0),0)</f>
        <v>0</v>
      </c>
      <c r="Q112" s="33">
        <f>K112-SUM(J112,L112,M112)</f>
        <v>1502.50214285805</v>
      </c>
      <c r="R112" s="33">
        <f>IF(P112&gt;0,MIN(MAX(0,P112-N111),MAX(0,O111)),0)</f>
        <v>0</v>
      </c>
      <c r="S112" s="2">
        <f>IF(P112&gt;0,MAX(0,P112-N111-O111),0)</f>
        <v>0</v>
      </c>
    </row>
    <row r="113" ht="27" customHeight="1">
      <c r="A113" s="3" t="n"/>
      <c r="B113" s="3" t="n">
        <v>40</v>
      </c>
      <c r="C113" s="3">
        <f>IF(B113&gt;='Your paths'!D61,1,0)</f>
        <v>1</v>
      </c>
      <c r="D113" s="33">
        <f>IF(C113=1,0,'Your paths'!D37*(1+'Your paths'!$C$20)^INT((B113-1)/12))</f>
        <v>0</v>
      </c>
      <c r="E113" s="33">
        <f>IF(AND(B113='Your paths'!D61,'Your paths'!D36&lt;&gt;"Rent"),'Your paths'!D63,H112)</f>
        <v>369518.672893386</v>
      </c>
      <c r="F113" s="33">
        <f>IF(C113=1,MIN('Your paths'!D64,E113*(1+'Your paths'!D62)),0)</f>
        <v>2213.89181714195</v>
      </c>
      <c r="G113" s="33">
        <f>E113*'Your paths'!D62</f>
        <v>1372.87995865757</v>
      </c>
      <c r="H113" s="33">
        <f>MAX(0,E113+G113-F113)</f>
        <v>368677.661034902</v>
      </c>
      <c r="I113" s="33">
        <f>IF(C113=0,0,IF(AND(B113='Your paths'!D61,'Your paths'!D36&lt;&gt;"Rent"),'Your paths'!D41,I112)*(1+'Your paths'!$C$31)^(1/12))</f>
        <v>534118.036183435</v>
      </c>
      <c r="J113" s="33">
        <f>(D113+F113+IF(C113=1,('Your paths'!D45/12+'Your paths'!D46+'Your paths'!D47)*(1+'Your paths'!$C$21)^INT((B113-1)/12),0))*'Your paths'!$C$32</f>
        <v>3103.53785714195</v>
      </c>
      <c r="K113" s="33">
        <f>('Your paths'!$C$9+'Your paths'!D49)*(1+'Your paths'!$C$24)^INT((B113-1)/12)</f>
        <v>7428.456</v>
      </c>
      <c r="L113" s="33">
        <f>('Your paths'!$C$10+'Your paths'!D48)*(1+'Your paths'!$C$21)^INT((B113-1)/12)</f>
        <v>2122.416</v>
      </c>
      <c r="M113" s="33">
        <f>IF('Your paths'!D39="",'Your paths'!$C$12,'Your paths'!D39)+IF(AND('Your paths'!D55="Yes",C113=1,B113&gt;='Your paths'!D57),'Your paths'!D56,0)</f>
        <v>700</v>
      </c>
      <c r="N113" s="33">
        <f>N112+MAX(0,N112)*((1+'Your paths'!$C$29)^(1/12)-1)+Q113-P113+R113</f>
        <v>55743.807379804</v>
      </c>
      <c r="O113" s="33">
        <f>(O112-R113)*(1+'Your paths'!$C$30)^(1/12)+M113</f>
        <v>56646.0454302131</v>
      </c>
      <c r="P113" s="33">
        <f>IF(AND(B113='Your paths'!D61,'Your paths'!D36&lt;&gt;"Rent"),'Your paths'!D42+'Your paths'!D65+IF('Your paths'!D36="Rent then buy",'Your paths'!D38,0),0)</f>
        <v>0</v>
      </c>
      <c r="Q113" s="33">
        <f>K113-SUM(J113,L113,M113)</f>
        <v>1502.50214285805</v>
      </c>
      <c r="R113" s="33">
        <f>IF(P113&gt;0,MIN(MAX(0,P113-N112),MAX(0,O112)),0)</f>
        <v>0</v>
      </c>
      <c r="S113" s="2">
        <f>IF(P113&gt;0,MAX(0,P113-N112-O112),0)</f>
        <v>0</v>
      </c>
    </row>
    <row r="114" ht="27" customHeight="1">
      <c r="A114" s="3" t="n"/>
      <c r="B114" s="3" t="n">
        <v>41</v>
      </c>
      <c r="C114" s="3">
        <f>IF(B114&gt;='Your paths'!D61,1,0)</f>
        <v>1</v>
      </c>
      <c r="D114" s="33">
        <f>IF(C114=1,0,'Your paths'!D37*(1+'Your paths'!$C$20)^INT((B114-1)/12))</f>
        <v>0</v>
      </c>
      <c r="E114" s="33">
        <f>IF(AND(B114='Your paths'!D61,'Your paths'!D36&lt;&gt;"Rent"),'Your paths'!D63,H113)</f>
        <v>368677.661034902</v>
      </c>
      <c r="F114" s="33">
        <f>IF(C114=1,MIN('Your paths'!D64,E114*(1+'Your paths'!D62)),0)</f>
        <v>2213.89181714195</v>
      </c>
      <c r="G114" s="33">
        <f>E114*'Your paths'!D62</f>
        <v>1369.7553308371</v>
      </c>
      <c r="H114" s="33">
        <f>MAX(0,E114+G114-F114)</f>
        <v>367833.524548597</v>
      </c>
      <c r="I114" s="33">
        <f>IF(C114=0,0,IF(AND(B114='Your paths'!D61,'Your paths'!D36&lt;&gt;"Rent"),'Your paths'!D41,I113)*(1+'Your paths'!$C$31)^(1/12))</f>
        <v>535000.175545014</v>
      </c>
      <c r="J114" s="33">
        <f>(D114+F114+IF(C114=1,('Your paths'!D45/12+'Your paths'!D46+'Your paths'!D47)*(1+'Your paths'!$C$21)^INT((B114-1)/12),0))*'Your paths'!$C$32</f>
        <v>3103.53785714195</v>
      </c>
      <c r="K114" s="33">
        <f>('Your paths'!$C$9+'Your paths'!D49)*(1+'Your paths'!$C$24)^INT((B114-1)/12)</f>
        <v>7428.456</v>
      </c>
      <c r="L114" s="33">
        <f>('Your paths'!$C$10+'Your paths'!D48)*(1+'Your paths'!$C$21)^INT((B114-1)/12)</f>
        <v>2122.416</v>
      </c>
      <c r="M114" s="33">
        <f>IF('Your paths'!D39="",'Your paths'!$C$12,'Your paths'!D39)+IF(AND('Your paths'!D55="Yes",C114=1,B114&gt;='Your paths'!D57),'Your paths'!D56,0)</f>
        <v>700</v>
      </c>
      <c r="N114" s="33">
        <f>N113+MAX(0,N113)*((1+'Your paths'!$C$29)^(1/12)-1)+Q114-P114+R114</f>
        <v>57338.3749526283</v>
      </c>
      <c r="O114" s="33">
        <f>(O113-R114)*(1+'Your paths'!$C$30)^(1/12)+M114</f>
        <v>57531.4898426422</v>
      </c>
      <c r="P114" s="33">
        <f>IF(AND(B114='Your paths'!D61,'Your paths'!D36&lt;&gt;"Rent"),'Your paths'!D42+'Your paths'!D65+IF('Your paths'!D36="Rent then buy",'Your paths'!D38,0),0)</f>
        <v>0</v>
      </c>
      <c r="Q114" s="33">
        <f>K114-SUM(J114,L114,M114)</f>
        <v>1502.50214285805</v>
      </c>
      <c r="R114" s="33">
        <f>IF(P114&gt;0,MIN(MAX(0,P114-N113),MAX(0,O113)),0)</f>
        <v>0</v>
      </c>
      <c r="S114" s="2">
        <f>IF(P114&gt;0,MAX(0,P114-N113-O113),0)</f>
        <v>0</v>
      </c>
    </row>
    <row r="115" ht="27" customHeight="1">
      <c r="A115" s="3" t="n"/>
      <c r="B115" s="3" t="n">
        <v>42</v>
      </c>
      <c r="C115" s="3">
        <f>IF(B115&gt;='Your paths'!D61,1,0)</f>
        <v>1</v>
      </c>
      <c r="D115" s="33">
        <f>IF(C115=1,0,'Your paths'!D37*(1+'Your paths'!$C$20)^INT((B115-1)/12))</f>
        <v>0</v>
      </c>
      <c r="E115" s="33">
        <f>IF(AND(B115='Your paths'!D61,'Your paths'!D36&lt;&gt;"Rent"),'Your paths'!D63,H114)</f>
        <v>367833.524548597</v>
      </c>
      <c r="F115" s="33">
        <f>IF(C115=1,MIN('Your paths'!D64,E115*(1+'Your paths'!D62)),0)</f>
        <v>2213.89181714195</v>
      </c>
      <c r="G115" s="33">
        <f>E115*'Your paths'!D62</f>
        <v>1366.61909402572</v>
      </c>
      <c r="H115" s="33">
        <f>MAX(0,E115+G115-F115)</f>
        <v>366986.25182548</v>
      </c>
      <c r="I115" s="33">
        <f>IF(C115=0,0,IF(AND(B115='Your paths'!D61,'Your paths'!D36&lt;&gt;"Rent"),'Your paths'!D41,I114)*(1+'Your paths'!$C$31)^(1/12))</f>
        <v>535883.771831468</v>
      </c>
      <c r="J115" s="33">
        <f>(D115+F115+IF(C115=1,('Your paths'!D45/12+'Your paths'!D46+'Your paths'!D47)*(1+'Your paths'!$C$21)^INT((B115-1)/12),0))*'Your paths'!$C$32</f>
        <v>3103.53785714195</v>
      </c>
      <c r="K115" s="33">
        <f>('Your paths'!$C$9+'Your paths'!D49)*(1+'Your paths'!$C$24)^INT((B115-1)/12)</f>
        <v>7428.456</v>
      </c>
      <c r="L115" s="33">
        <f>('Your paths'!$C$10+'Your paths'!D48)*(1+'Your paths'!$C$21)^INT((B115-1)/12)</f>
        <v>2122.416</v>
      </c>
      <c r="M115" s="33">
        <f>IF('Your paths'!D39="",'Your paths'!$C$12,'Your paths'!D39)+IF(AND('Your paths'!D55="Yes",C115=1,B115&gt;='Your paths'!D57),'Your paths'!D56,0)</f>
        <v>700</v>
      </c>
      <c r="N115" s="33">
        <f>N114+MAX(0,N114)*((1+'Your paths'!$C$29)^(1/12)-1)+Q115-P115+R115</f>
        <v>58935.5760834406</v>
      </c>
      <c r="O115" s="33">
        <f>(O114-R115)*(1+'Your paths'!$C$30)^(1/12)+M115</f>
        <v>58419.8329696693</v>
      </c>
      <c r="P115" s="33">
        <f>IF(AND(B115='Your paths'!D61,'Your paths'!D36&lt;&gt;"Rent"),'Your paths'!D42+'Your paths'!D65+IF('Your paths'!D36="Rent then buy",'Your paths'!D38,0),0)</f>
        <v>0</v>
      </c>
      <c r="Q115" s="33">
        <f>K115-SUM(J115,L115,M115)</f>
        <v>1502.50214285805</v>
      </c>
      <c r="R115" s="33">
        <f>IF(P115&gt;0,MIN(MAX(0,P115-N114),MAX(0,O114)),0)</f>
        <v>0</v>
      </c>
      <c r="S115" s="2">
        <f>IF(P115&gt;0,MAX(0,P115-N114-O114),0)</f>
        <v>0</v>
      </c>
    </row>
    <row r="116" ht="27" customHeight="1">
      <c r="A116" s="3" t="n"/>
      <c r="B116" s="3" t="n">
        <v>43</v>
      </c>
      <c r="C116" s="3">
        <f>IF(B116&gt;='Your paths'!D61,1,0)</f>
        <v>1</v>
      </c>
      <c r="D116" s="33">
        <f>IF(C116=1,0,'Your paths'!D37*(1+'Your paths'!$C$20)^INT((B116-1)/12))</f>
        <v>0</v>
      </c>
      <c r="E116" s="33">
        <f>IF(AND(B116='Your paths'!D61,'Your paths'!D36&lt;&gt;"Rent"),'Your paths'!D63,H115)</f>
        <v>366986.25182548</v>
      </c>
      <c r="F116" s="33">
        <f>IF(C116=1,MIN('Your paths'!D64,E116*(1+'Your paths'!D62)),0)</f>
        <v>2213.89181714195</v>
      </c>
      <c r="G116" s="33">
        <f>E116*'Your paths'!D62</f>
        <v>1363.47120509233</v>
      </c>
      <c r="H116" s="33">
        <f>MAX(0,E116+G116-F116)</f>
        <v>366135.831213431</v>
      </c>
      <c r="I116" s="33">
        <f>IF(C116=0,0,IF(AND(B116='Your paths'!D61,'Your paths'!D36&lt;&gt;"Rent"),'Your paths'!D41,I115)*(1+'Your paths'!$C$31)^(1/12))</f>
        <v>536768.827449028</v>
      </c>
      <c r="J116" s="33">
        <f>(D116+F116+IF(C116=1,('Your paths'!D45/12+'Your paths'!D46+'Your paths'!D47)*(1+'Your paths'!$C$21)^INT((B116-1)/12),0))*'Your paths'!$C$32</f>
        <v>3103.53785714195</v>
      </c>
      <c r="K116" s="33">
        <f>('Your paths'!$C$9+'Your paths'!D49)*(1+'Your paths'!$C$24)^INT((B116-1)/12)</f>
        <v>7428.456</v>
      </c>
      <c r="L116" s="33">
        <f>('Your paths'!$C$10+'Your paths'!D48)*(1+'Your paths'!$C$21)^INT((B116-1)/12)</f>
        <v>2122.416</v>
      </c>
      <c r="M116" s="33">
        <f>IF('Your paths'!D39="",'Your paths'!$C$12,'Your paths'!D39)+IF(AND('Your paths'!D55="Yes",C116=1,B116&gt;='Your paths'!D57),'Your paths'!D56,0)</f>
        <v>700</v>
      </c>
      <c r="N116" s="33">
        <f>N115+MAX(0,N115)*((1+'Your paths'!$C$29)^(1/12)-1)+Q116-P116+R116</f>
        <v>60535.415121776</v>
      </c>
      <c r="O116" s="33">
        <f>(O115-R116)*(1+'Your paths'!$C$30)^(1/12)+M116</f>
        <v>59311.0843009315</v>
      </c>
      <c r="P116" s="33">
        <f>IF(AND(B116='Your paths'!D61,'Your paths'!D36&lt;&gt;"Rent"),'Your paths'!D42+'Your paths'!D65+IF('Your paths'!D36="Rent then buy",'Your paths'!D38,0),0)</f>
        <v>0</v>
      </c>
      <c r="Q116" s="33">
        <f>K116-SUM(J116,L116,M116)</f>
        <v>1502.50214285805</v>
      </c>
      <c r="R116" s="33">
        <f>IF(P116&gt;0,MIN(MAX(0,P116-N115),MAX(0,O115)),0)</f>
        <v>0</v>
      </c>
      <c r="S116" s="2">
        <f>IF(P116&gt;0,MAX(0,P116-N115-O115),0)</f>
        <v>0</v>
      </c>
    </row>
    <row r="117" ht="27" customHeight="1">
      <c r="A117" s="3" t="n"/>
      <c r="B117" s="3" t="n">
        <v>44</v>
      </c>
      <c r="C117" s="3">
        <f>IF(B117&gt;='Your paths'!D61,1,0)</f>
        <v>1</v>
      </c>
      <c r="D117" s="33">
        <f>IF(C117=1,0,'Your paths'!D37*(1+'Your paths'!$C$20)^INT((B117-1)/12))</f>
        <v>0</v>
      </c>
      <c r="E117" s="33">
        <f>IF(AND(B117='Your paths'!D61,'Your paths'!D36&lt;&gt;"Rent"),'Your paths'!D63,H116)</f>
        <v>366135.831213431</v>
      </c>
      <c r="F117" s="33">
        <f>IF(C117=1,MIN('Your paths'!D64,E117*(1+'Your paths'!D62)),0)</f>
        <v>2213.89181714195</v>
      </c>
      <c r="G117" s="33">
        <f>E117*'Your paths'!D62</f>
        <v>1360.31162074556</v>
      </c>
      <c r="H117" s="33">
        <f>MAX(0,E117+G117-F117)</f>
        <v>365282.251017034</v>
      </c>
      <c r="I117" s="33">
        <f>IF(C117=0,0,IF(AND(B117='Your paths'!D61,'Your paths'!D36&lt;&gt;"Rent"),'Your paths'!D41,I116)*(1+'Your paths'!$C$31)^(1/12))</f>
        <v>537655.344807896</v>
      </c>
      <c r="J117" s="33">
        <f>(D117+F117+IF(C117=1,('Your paths'!D45/12+'Your paths'!D46+'Your paths'!D47)*(1+'Your paths'!$C$21)^INT((B117-1)/12),0))*'Your paths'!$C$32</f>
        <v>3103.53785714195</v>
      </c>
      <c r="K117" s="33">
        <f>('Your paths'!$C$9+'Your paths'!D49)*(1+'Your paths'!$C$24)^INT((B117-1)/12)</f>
        <v>7428.456</v>
      </c>
      <c r="L117" s="33">
        <f>('Your paths'!$C$10+'Your paths'!D48)*(1+'Your paths'!$C$21)^INT((B117-1)/12)</f>
        <v>2122.416</v>
      </c>
      <c r="M117" s="33">
        <f>IF('Your paths'!D39="",'Your paths'!$C$12,'Your paths'!D39)+IF(AND('Your paths'!D55="Yes",C117=1,B117&gt;='Your paths'!D57),'Your paths'!D56,0)</f>
        <v>700</v>
      </c>
      <c r="N117" s="33">
        <f>N116+MAX(0,N116)*((1+'Your paths'!$C$29)^(1/12)-1)+Q117-P117+R117</f>
        <v>62137.8964243531</v>
      </c>
      <c r="O117" s="33">
        <f>(O116-R117)*(1+'Your paths'!$C$30)^(1/12)+M117</f>
        <v>60205.2533571328</v>
      </c>
      <c r="P117" s="33">
        <f>IF(AND(B117='Your paths'!D61,'Your paths'!D36&lt;&gt;"Rent"),'Your paths'!D42+'Your paths'!D65+IF('Your paths'!D36="Rent then buy",'Your paths'!D38,0),0)</f>
        <v>0</v>
      </c>
      <c r="Q117" s="33">
        <f>K117-SUM(J117,L117,M117)</f>
        <v>1502.50214285805</v>
      </c>
      <c r="R117" s="33">
        <f>IF(P117&gt;0,MIN(MAX(0,P117-N116),MAX(0,O116)),0)</f>
        <v>0</v>
      </c>
      <c r="S117" s="2">
        <f>IF(P117&gt;0,MAX(0,P117-N116-O116),0)</f>
        <v>0</v>
      </c>
    </row>
    <row r="118" ht="27" customHeight="1">
      <c r="A118" s="3" t="n"/>
      <c r="B118" s="3" t="n">
        <v>45</v>
      </c>
      <c r="C118" s="3">
        <f>IF(B118&gt;='Your paths'!D61,1,0)</f>
        <v>1</v>
      </c>
      <c r="D118" s="33">
        <f>IF(C118=1,0,'Your paths'!D37*(1+'Your paths'!$C$20)^INT((B118-1)/12))</f>
        <v>0</v>
      </c>
      <c r="E118" s="33">
        <f>IF(AND(B118='Your paths'!D61,'Your paths'!D36&lt;&gt;"Rent"),'Your paths'!D63,H117)</f>
        <v>365282.251017034</v>
      </c>
      <c r="F118" s="33">
        <f>IF(C118=1,MIN('Your paths'!D64,E118*(1+'Your paths'!D62)),0)</f>
        <v>2213.89181714195</v>
      </c>
      <c r="G118" s="33">
        <f>E118*'Your paths'!D62</f>
        <v>1357.14029753322</v>
      </c>
      <c r="H118" s="33">
        <f>MAX(0,E118+G118-F118)</f>
        <v>364425.499497426</v>
      </c>
      <c r="I118" s="33">
        <f>IF(C118=0,0,IF(AND(B118='Your paths'!D61,'Your paths'!D36&lt;&gt;"Rent"),'Your paths'!D41,I117)*(1+'Your paths'!$C$31)^(1/12))</f>
        <v>538543.326322258</v>
      </c>
      <c r="J118" s="33">
        <f>(D118+F118+IF(C118=1,('Your paths'!D45/12+'Your paths'!D46+'Your paths'!D47)*(1+'Your paths'!$C$21)^INT((B118-1)/12),0))*'Your paths'!$C$32</f>
        <v>3103.53785714195</v>
      </c>
      <c r="K118" s="33">
        <f>('Your paths'!$C$9+'Your paths'!D49)*(1+'Your paths'!$C$24)^INT((B118-1)/12)</f>
        <v>7428.456</v>
      </c>
      <c r="L118" s="33">
        <f>('Your paths'!$C$10+'Your paths'!D48)*(1+'Your paths'!$C$21)^INT((B118-1)/12)</f>
        <v>2122.416</v>
      </c>
      <c r="M118" s="33">
        <f>IF('Your paths'!D39="",'Your paths'!$C$12,'Your paths'!D39)+IF(AND('Your paths'!D55="Yes",C118=1,B118&gt;='Your paths'!D57),'Your paths'!D56,0)</f>
        <v>700</v>
      </c>
      <c r="N118" s="33">
        <f>N117+MAX(0,N117)*((1+'Your paths'!$C$29)^(1/12)-1)+Q118-P118+R118</f>
        <v>63743.0243550863</v>
      </c>
      <c r="O118" s="33">
        <f>(O117-R118)*(1+'Your paths'!$C$30)^(1/12)+M118</f>
        <v>61102.3496901454</v>
      </c>
      <c r="P118" s="33">
        <f>IF(AND(B118='Your paths'!D61,'Your paths'!D36&lt;&gt;"Rent"),'Your paths'!D42+'Your paths'!D65+IF('Your paths'!D36="Rent then buy",'Your paths'!D38,0),0)</f>
        <v>0</v>
      </c>
      <c r="Q118" s="33">
        <f>K118-SUM(J118,L118,M118)</f>
        <v>1502.50214285805</v>
      </c>
      <c r="R118" s="33">
        <f>IF(P118&gt;0,MIN(MAX(0,P118-N117),MAX(0,O117)),0)</f>
        <v>0</v>
      </c>
      <c r="S118" s="2">
        <f>IF(P118&gt;0,MAX(0,P118-N117-O117),0)</f>
        <v>0</v>
      </c>
    </row>
    <row r="119" ht="27" customHeight="1">
      <c r="A119" s="3" t="n"/>
      <c r="B119" s="3" t="n">
        <v>46</v>
      </c>
      <c r="C119" s="3">
        <f>IF(B119&gt;='Your paths'!D61,1,0)</f>
        <v>1</v>
      </c>
      <c r="D119" s="33">
        <f>IF(C119=1,0,'Your paths'!D37*(1+'Your paths'!$C$20)^INT((B119-1)/12))</f>
        <v>0</v>
      </c>
      <c r="E119" s="33">
        <f>IF(AND(B119='Your paths'!D61,'Your paths'!D36&lt;&gt;"Rent"),'Your paths'!D63,H118)</f>
        <v>364425.499497426</v>
      </c>
      <c r="F119" s="33">
        <f>IF(C119=1,MIN('Your paths'!D64,E119*(1+'Your paths'!D62)),0)</f>
        <v>2213.89181714195</v>
      </c>
      <c r="G119" s="33">
        <f>E119*'Your paths'!D62</f>
        <v>1353.95719184168</v>
      </c>
      <c r="H119" s="33">
        <f>MAX(0,E119+G119-F119)</f>
        <v>363565.564872125</v>
      </c>
      <c r="I119" s="33">
        <f>IF(C119=0,0,IF(AND(B119='Your paths'!D61,'Your paths'!D36&lt;&gt;"Rent"),'Your paths'!D41,I118)*(1+'Your paths'!$C$31)^(1/12))</f>
        <v>539432.774410286</v>
      </c>
      <c r="J119" s="33">
        <f>(D119+F119+IF(C119=1,('Your paths'!D45/12+'Your paths'!D46+'Your paths'!D47)*(1+'Your paths'!$C$21)^INT((B119-1)/12),0))*'Your paths'!$C$32</f>
        <v>3103.53785714195</v>
      </c>
      <c r="K119" s="33">
        <f>('Your paths'!$C$9+'Your paths'!D49)*(1+'Your paths'!$C$24)^INT((B119-1)/12)</f>
        <v>7428.456</v>
      </c>
      <c r="L119" s="33">
        <f>('Your paths'!$C$10+'Your paths'!D48)*(1+'Your paths'!$C$21)^INT((B119-1)/12)</f>
        <v>2122.416</v>
      </c>
      <c r="M119" s="33">
        <f>IF('Your paths'!D39="",'Your paths'!$C$12,'Your paths'!D39)+IF(AND('Your paths'!D55="Yes",C119=1,B119&gt;='Your paths'!D57),'Your paths'!D56,0)</f>
        <v>700</v>
      </c>
      <c r="N119" s="33">
        <f>N118+MAX(0,N118)*((1+'Your paths'!$C$29)^(1/12)-1)+Q119-P119+R119</f>
        <v>65350.803285097</v>
      </c>
      <c r="O119" s="33">
        <f>(O118-R119)*(1+'Your paths'!$C$30)^(1/12)+M119</f>
        <v>62002.3828831119</v>
      </c>
      <c r="P119" s="33">
        <f>IF(AND(B119='Your paths'!D61,'Your paths'!D36&lt;&gt;"Rent"),'Your paths'!D42+'Your paths'!D65+IF('Your paths'!D36="Rent then buy",'Your paths'!D38,0),0)</f>
        <v>0</v>
      </c>
      <c r="Q119" s="33">
        <f>K119-SUM(J119,L119,M119)</f>
        <v>1502.50214285805</v>
      </c>
      <c r="R119" s="33">
        <f>IF(P119&gt;0,MIN(MAX(0,P119-N118),MAX(0,O118)),0)</f>
        <v>0</v>
      </c>
      <c r="S119" s="2">
        <f>IF(P119&gt;0,MAX(0,P119-N118-O118),0)</f>
        <v>0</v>
      </c>
    </row>
    <row r="120" ht="27" customHeight="1">
      <c r="A120" s="3" t="n"/>
      <c r="B120" s="3" t="n">
        <v>47</v>
      </c>
      <c r="C120" s="3">
        <f>IF(B120&gt;='Your paths'!D61,1,0)</f>
        <v>1</v>
      </c>
      <c r="D120" s="33">
        <f>IF(C120=1,0,'Your paths'!D37*(1+'Your paths'!$C$20)^INT((B120-1)/12))</f>
        <v>0</v>
      </c>
      <c r="E120" s="33">
        <f>IF(AND(B120='Your paths'!D61,'Your paths'!D36&lt;&gt;"Rent"),'Your paths'!D63,H119)</f>
        <v>363565.564872125</v>
      </c>
      <c r="F120" s="33">
        <f>IF(C120=1,MIN('Your paths'!D64,E120*(1+'Your paths'!D62)),0)</f>
        <v>2213.89181714195</v>
      </c>
      <c r="G120" s="33">
        <f>E120*'Your paths'!D62</f>
        <v>1350.76225989524</v>
      </c>
      <c r="H120" s="33">
        <f>MAX(0,E120+G120-F120)</f>
        <v>362702.435314879</v>
      </c>
      <c r="I120" s="33">
        <f>IF(C120=0,0,IF(AND(B120='Your paths'!D61,'Your paths'!D36&lt;&gt;"Rent"),'Your paths'!D41,I119)*(1+'Your paths'!$C$31)^(1/12))</f>
        <v>540323.691494145</v>
      </c>
      <c r="J120" s="33">
        <f>(D120+F120+IF(C120=1,('Your paths'!D45/12+'Your paths'!D46+'Your paths'!D47)*(1+'Your paths'!$C$21)^INT((B120-1)/12),0))*'Your paths'!$C$32</f>
        <v>3103.53785714195</v>
      </c>
      <c r="K120" s="33">
        <f>('Your paths'!$C$9+'Your paths'!D49)*(1+'Your paths'!$C$24)^INT((B120-1)/12)</f>
        <v>7428.456</v>
      </c>
      <c r="L120" s="33">
        <f>('Your paths'!$C$10+'Your paths'!D48)*(1+'Your paths'!$C$21)^INT((B120-1)/12)</f>
        <v>2122.416</v>
      </c>
      <c r="M120" s="33">
        <f>IF('Your paths'!D39="",'Your paths'!$C$12,'Your paths'!D39)+IF(AND('Your paths'!D55="Yes",C120=1,B120&gt;='Your paths'!D57),'Your paths'!D56,0)</f>
        <v>700</v>
      </c>
      <c r="N120" s="33">
        <f>N119+MAX(0,N119)*((1+'Your paths'!$C$29)^(1/12)-1)+Q120-P120+R120</f>
        <v>66961.2375927262</v>
      </c>
      <c r="O120" s="33">
        <f>(O119-R120)*(1+'Your paths'!$C$30)^(1/12)+M120</f>
        <v>62905.3625505474</v>
      </c>
      <c r="P120" s="33">
        <f>IF(AND(B120='Your paths'!D61,'Your paths'!D36&lt;&gt;"Rent"),'Your paths'!D42+'Your paths'!D65+IF('Your paths'!D36="Rent then buy",'Your paths'!D38,0),0)</f>
        <v>0</v>
      </c>
      <c r="Q120" s="33">
        <f>K120-SUM(J120,L120,M120)</f>
        <v>1502.50214285805</v>
      </c>
      <c r="R120" s="33">
        <f>IF(P120&gt;0,MIN(MAX(0,P120-N119),MAX(0,O119)),0)</f>
        <v>0</v>
      </c>
      <c r="S120" s="2">
        <f>IF(P120&gt;0,MAX(0,P120-N119-O119),0)</f>
        <v>0</v>
      </c>
    </row>
    <row r="121" ht="27" customHeight="1">
      <c r="A121" s="3" t="n"/>
      <c r="B121" s="3" t="n">
        <v>48</v>
      </c>
      <c r="C121" s="3">
        <f>IF(B121&gt;='Your paths'!D61,1,0)</f>
        <v>1</v>
      </c>
      <c r="D121" s="33">
        <f>IF(C121=1,0,'Your paths'!D37*(1+'Your paths'!$C$20)^INT((B121-1)/12))</f>
        <v>0</v>
      </c>
      <c r="E121" s="33">
        <f>IF(AND(B121='Your paths'!D61,'Your paths'!D36&lt;&gt;"Rent"),'Your paths'!D63,H120)</f>
        <v>362702.435314879</v>
      </c>
      <c r="F121" s="33">
        <f>IF(C121=1,MIN('Your paths'!D64,E121*(1+'Your paths'!D62)),0)</f>
        <v>2213.89181714195</v>
      </c>
      <c r="G121" s="33">
        <f>E121*'Your paths'!D62</f>
        <v>1347.55545775561</v>
      </c>
      <c r="H121" s="33">
        <f>MAX(0,E121+G121-F121)</f>
        <v>361836.098955492</v>
      </c>
      <c r="I121" s="33">
        <f>IF(C121=0,0,IF(AND(B121='Your paths'!D61,'Your paths'!D36&lt;&gt;"Rent"),'Your paths'!D41,I120)*(1+'Your paths'!$C$31)^(1/12))</f>
        <v>541216.080000001</v>
      </c>
      <c r="J121" s="33">
        <f>(D121+F121+IF(C121=1,('Your paths'!D45/12+'Your paths'!D46+'Your paths'!D47)*(1+'Your paths'!$C$21)^INT((B121-1)/12),0))*'Your paths'!$C$32</f>
        <v>3103.53785714195</v>
      </c>
      <c r="K121" s="33">
        <f>('Your paths'!$C$9+'Your paths'!D49)*(1+'Your paths'!$C$24)^INT((B121-1)/12)</f>
        <v>7428.456</v>
      </c>
      <c r="L121" s="33">
        <f>('Your paths'!$C$10+'Your paths'!D48)*(1+'Your paths'!$C$21)^INT((B121-1)/12)</f>
        <v>2122.416</v>
      </c>
      <c r="M121" s="33">
        <f>IF('Your paths'!D39="",'Your paths'!$C$12,'Your paths'!D39)+IF(AND('Your paths'!D55="Yes",C121=1,B121&gt;='Your paths'!D57),'Your paths'!D56,0)</f>
        <v>700</v>
      </c>
      <c r="N121" s="33">
        <f>N120+MAX(0,N120)*((1+'Your paths'!$C$29)^(1/12)-1)+Q121-P121+R121</f>
        <v>68574.3316635458</v>
      </c>
      <c r="O121" s="33">
        <f>(O120-R121)*(1+'Your paths'!$C$30)^(1/12)+M121</f>
        <v>63811.2983384428</v>
      </c>
      <c r="P121" s="33">
        <f>IF(AND(B121='Your paths'!D61,'Your paths'!D36&lt;&gt;"Rent"),'Your paths'!D42+'Your paths'!D65+IF('Your paths'!D36="Rent then buy",'Your paths'!D38,0),0)</f>
        <v>0</v>
      </c>
      <c r="Q121" s="33">
        <f>K121-SUM(J121,L121,M121)</f>
        <v>1502.50214285805</v>
      </c>
      <c r="R121" s="33">
        <f>IF(P121&gt;0,MIN(MAX(0,P121-N120),MAX(0,O120)),0)</f>
        <v>0</v>
      </c>
      <c r="S121" s="2">
        <f>IF(P121&gt;0,MAX(0,P121-N120-O120),0)</f>
        <v>0</v>
      </c>
    </row>
    <row r="122" ht="27" customHeight="1">
      <c r="A122" s="3" t="n"/>
      <c r="B122" s="3" t="n">
        <v>49</v>
      </c>
      <c r="C122" s="3">
        <f>IF(B122&gt;='Your paths'!D61,1,0)</f>
        <v>1</v>
      </c>
      <c r="D122" s="33">
        <f>IF(C122=1,0,'Your paths'!D37*(1+'Your paths'!$C$20)^INT((B122-1)/12))</f>
        <v>0</v>
      </c>
      <c r="E122" s="33">
        <f>IF(AND(B122='Your paths'!D61,'Your paths'!D36&lt;&gt;"Rent"),'Your paths'!D63,H121)</f>
        <v>361836.098955492</v>
      </c>
      <c r="F122" s="33">
        <f>IF(C122=1,MIN('Your paths'!D64,E122*(1+'Your paths'!D62)),0)</f>
        <v>2213.89181714195</v>
      </c>
      <c r="G122" s="33">
        <f>E122*'Your paths'!D62</f>
        <v>1344.33674132121</v>
      </c>
      <c r="H122" s="33">
        <f>MAX(0,E122+G122-F122)</f>
        <v>360966.543879672</v>
      </c>
      <c r="I122" s="33">
        <f>IF(C122=0,0,IF(AND(B122='Your paths'!D61,'Your paths'!D36&lt;&gt;"Rent"),'Your paths'!D41,I121)*(1+'Your paths'!$C$31)^(1/12))</f>
        <v>542109.942358028</v>
      </c>
      <c r="J122" s="33">
        <f>(D122+F122+IF(C122=1,('Your paths'!D45/12+'Your paths'!D46+'Your paths'!D47)*(1+'Your paths'!$C$21)^INT((B122-1)/12),0))*'Your paths'!$C$32</f>
        <v>3121.33077794195</v>
      </c>
      <c r="K122" s="33">
        <f>('Your paths'!$C$9+'Your paths'!D49)*(1+'Your paths'!$C$24)^INT((B122-1)/12)</f>
        <v>7577.02512</v>
      </c>
      <c r="L122" s="33">
        <f>('Your paths'!$C$10+'Your paths'!D48)*(1+'Your paths'!$C$21)^INT((B122-1)/12)</f>
        <v>2164.86432</v>
      </c>
      <c r="M122" s="33">
        <f>IF('Your paths'!D39="",'Your paths'!$C$12,'Your paths'!D39)+IF(AND('Your paths'!D55="Yes",C122=1,B122&gt;='Your paths'!D57),'Your paths'!D56,0)</f>
        <v>700</v>
      </c>
      <c r="N122" s="33">
        <f>N121+MAX(0,N121)*((1+'Your paths'!$C$29)^(1/12)-1)+Q122-P122+R122</f>
        <v>70278.4177695711</v>
      </c>
      <c r="O122" s="33">
        <f>(O121-R122)*(1+'Your paths'!$C$30)^(1/12)+M122</f>
        <v>64720.1999243671</v>
      </c>
      <c r="P122" s="33">
        <f>IF(AND(B122='Your paths'!D61,'Your paths'!D36&lt;&gt;"Rent"),'Your paths'!D42+'Your paths'!D65+IF('Your paths'!D36="Rent then buy",'Your paths'!D38,0),0)</f>
        <v>0</v>
      </c>
      <c r="Q122" s="33">
        <f>K122-SUM(J122,L122,M122)</f>
        <v>1590.83002205805</v>
      </c>
      <c r="R122" s="33">
        <f>IF(P122&gt;0,MIN(MAX(0,P122-N121),MAX(0,O121)),0)</f>
        <v>0</v>
      </c>
      <c r="S122" s="2">
        <f>IF(P122&gt;0,MAX(0,P122-N121-O121),0)</f>
        <v>0</v>
      </c>
    </row>
    <row r="123" ht="27" customHeight="1">
      <c r="A123" s="3" t="n"/>
      <c r="B123" s="3" t="n">
        <v>50</v>
      </c>
      <c r="C123" s="3">
        <f>IF(B123&gt;='Your paths'!D61,1,0)</f>
        <v>1</v>
      </c>
      <c r="D123" s="33">
        <f>IF(C123=1,0,'Your paths'!D37*(1+'Your paths'!$C$20)^INT((B123-1)/12))</f>
        <v>0</v>
      </c>
      <c r="E123" s="33">
        <f>IF(AND(B123='Your paths'!D61,'Your paths'!D36&lt;&gt;"Rent"),'Your paths'!D63,H122)</f>
        <v>360966.543879672</v>
      </c>
      <c r="F123" s="33">
        <f>IF(C123=1,MIN('Your paths'!D64,E123*(1+'Your paths'!D62)),0)</f>
        <v>2213.89181714195</v>
      </c>
      <c r="G123" s="33">
        <f>E123*'Your paths'!D62</f>
        <v>1341.10606632664</v>
      </c>
      <c r="H123" s="33">
        <f>MAX(0,E123+G123-F123)</f>
        <v>360093.758128856</v>
      </c>
      <c r="I123" s="33">
        <f>IF(C123=0,0,IF(AND(B123='Your paths'!D61,'Your paths'!D36&lt;&gt;"Rent"),'Your paths'!D41,I122)*(1+'Your paths'!$C$31)^(1/12))</f>
        <v>543005.281002412</v>
      </c>
      <c r="J123" s="33">
        <f>(D123+F123+IF(C123=1,('Your paths'!D45/12+'Your paths'!D46+'Your paths'!D47)*(1+'Your paths'!$C$21)^INT((B123-1)/12),0))*'Your paths'!$C$32</f>
        <v>3121.33077794195</v>
      </c>
      <c r="K123" s="33">
        <f>('Your paths'!$C$9+'Your paths'!D49)*(1+'Your paths'!$C$24)^INT((B123-1)/12)</f>
        <v>7577.02512</v>
      </c>
      <c r="L123" s="33">
        <f>('Your paths'!$C$10+'Your paths'!D48)*(1+'Your paths'!$C$21)^INT((B123-1)/12)</f>
        <v>2164.86432</v>
      </c>
      <c r="M123" s="33">
        <f>IF('Your paths'!D39="",'Your paths'!$C$12,'Your paths'!D39)+IF(AND('Your paths'!D55="Yes",C123=1,B123&gt;='Your paths'!D57),'Your paths'!D56,0)</f>
        <v>700</v>
      </c>
      <c r="N123" s="33">
        <f>N122+MAX(0,N122)*((1+'Your paths'!$C$29)^(1/12)-1)+Q123-P123+R123</f>
        <v>71985.3183123459</v>
      </c>
      <c r="O123" s="33">
        <f>(O122-R123)*(1+'Your paths'!$C$30)^(1/12)+M123</f>
        <v>65632.0770175714</v>
      </c>
      <c r="P123" s="33">
        <f>IF(AND(B123='Your paths'!D61,'Your paths'!D36&lt;&gt;"Rent"),'Your paths'!D42+'Your paths'!D65+IF('Your paths'!D36="Rent then buy",'Your paths'!D38,0),0)</f>
        <v>0</v>
      </c>
      <c r="Q123" s="33">
        <f>K123-SUM(J123,L123,M123)</f>
        <v>1590.83002205805</v>
      </c>
      <c r="R123" s="33">
        <f>IF(P123&gt;0,MIN(MAX(0,P123-N122),MAX(0,O122)),0)</f>
        <v>0</v>
      </c>
      <c r="S123" s="2">
        <f>IF(P123&gt;0,MAX(0,P123-N122-O122),0)</f>
        <v>0</v>
      </c>
    </row>
    <row r="124" ht="27" customHeight="1">
      <c r="A124" s="3" t="n"/>
      <c r="B124" s="3" t="n">
        <v>51</v>
      </c>
      <c r="C124" s="3">
        <f>IF(B124&gt;='Your paths'!D61,1,0)</f>
        <v>1</v>
      </c>
      <c r="D124" s="33">
        <f>IF(C124=1,0,'Your paths'!D37*(1+'Your paths'!$C$20)^INT((B124-1)/12))</f>
        <v>0</v>
      </c>
      <c r="E124" s="33">
        <f>IF(AND(B124='Your paths'!D61,'Your paths'!D36&lt;&gt;"Rent"),'Your paths'!D63,H123)</f>
        <v>360093.758128856</v>
      </c>
      <c r="F124" s="33">
        <f>IF(C124=1,MIN('Your paths'!D64,E124*(1+'Your paths'!D62)),0)</f>
        <v>2213.89181714195</v>
      </c>
      <c r="G124" s="33">
        <f>E124*'Your paths'!D62</f>
        <v>1337.86338834203</v>
      </c>
      <c r="H124" s="33">
        <f>MAX(0,E124+G124-F124)</f>
        <v>359217.729700056</v>
      </c>
      <c r="I124" s="33">
        <f>IF(C124=0,0,IF(AND(B124='Your paths'!D61,'Your paths'!D36&lt;&gt;"Rent"),'Your paths'!D41,I123)*(1+'Your paths'!$C$31)^(1/12))</f>
        <v>543902.098371359</v>
      </c>
      <c r="J124" s="33">
        <f>(D124+F124+IF(C124=1,('Your paths'!D45/12+'Your paths'!D46+'Your paths'!D47)*(1+'Your paths'!$C$21)^INT((B124-1)/12),0))*'Your paths'!$C$32</f>
        <v>3121.33077794195</v>
      </c>
      <c r="K124" s="33">
        <f>('Your paths'!$C$9+'Your paths'!D49)*(1+'Your paths'!$C$24)^INT((B124-1)/12)</f>
        <v>7577.02512</v>
      </c>
      <c r="L124" s="33">
        <f>('Your paths'!$C$10+'Your paths'!D48)*(1+'Your paths'!$C$21)^INT((B124-1)/12)</f>
        <v>2164.86432</v>
      </c>
      <c r="M124" s="33">
        <f>IF('Your paths'!D39="",'Your paths'!$C$12,'Your paths'!D39)+IF(AND('Your paths'!D55="Yes",C124=1,B124&gt;='Your paths'!D57),'Your paths'!D56,0)</f>
        <v>700</v>
      </c>
      <c r="N124" s="33">
        <f>N123+MAX(0,N123)*((1+'Your paths'!$C$29)^(1/12)-1)+Q124-P124+R124</f>
        <v>73695.0379401414</v>
      </c>
      <c r="O124" s="33">
        <f>(O123-R124)*(1+'Your paths'!$C$30)^(1/12)+M124</f>
        <v>66546.9393590922</v>
      </c>
      <c r="P124" s="33">
        <f>IF(AND(B124='Your paths'!D61,'Your paths'!D36&lt;&gt;"Rent"),'Your paths'!D42+'Your paths'!D65+IF('Your paths'!D36="Rent then buy",'Your paths'!D38,0),0)</f>
        <v>0</v>
      </c>
      <c r="Q124" s="33">
        <f>K124-SUM(J124,L124,M124)</f>
        <v>1590.83002205805</v>
      </c>
      <c r="R124" s="33">
        <f>IF(P124&gt;0,MIN(MAX(0,P124-N123),MAX(0,O123)),0)</f>
        <v>0</v>
      </c>
      <c r="S124" s="2">
        <f>IF(P124&gt;0,MAX(0,P124-N123-O123),0)</f>
        <v>0</v>
      </c>
    </row>
    <row r="125" ht="27" customHeight="1">
      <c r="A125" s="3" t="n"/>
      <c r="B125" s="3" t="n">
        <v>52</v>
      </c>
      <c r="C125" s="3">
        <f>IF(B125&gt;='Your paths'!D61,1,0)</f>
        <v>1</v>
      </c>
      <c r="D125" s="33">
        <f>IF(C125=1,0,'Your paths'!D37*(1+'Your paths'!$C$20)^INT((B125-1)/12))</f>
        <v>0</v>
      </c>
      <c r="E125" s="33">
        <f>IF(AND(B125='Your paths'!D61,'Your paths'!D36&lt;&gt;"Rent"),'Your paths'!D63,H124)</f>
        <v>359217.729700056</v>
      </c>
      <c r="F125" s="33">
        <f>IF(C125=1,MIN('Your paths'!D64,E125*(1+'Your paths'!D62)),0)</f>
        <v>2213.89181714195</v>
      </c>
      <c r="G125" s="33">
        <f>E125*'Your paths'!D62</f>
        <v>1334.60866277242</v>
      </c>
      <c r="H125" s="33">
        <f>MAX(0,E125+G125-F125)</f>
        <v>358338.446545687</v>
      </c>
      <c r="I125" s="33">
        <f>IF(C125=0,0,IF(AND(B125='Your paths'!D61,'Your paths'!D36&lt;&gt;"Rent"),'Your paths'!D41,I124)*(1+'Your paths'!$C$31)^(1/12))</f>
        <v>544800.396907104</v>
      </c>
      <c r="J125" s="33">
        <f>(D125+F125+IF(C125=1,('Your paths'!D45/12+'Your paths'!D46+'Your paths'!D47)*(1+'Your paths'!$C$21)^INT((B125-1)/12),0))*'Your paths'!$C$32</f>
        <v>3121.33077794195</v>
      </c>
      <c r="K125" s="33">
        <f>('Your paths'!$C$9+'Your paths'!D49)*(1+'Your paths'!$C$24)^INT((B125-1)/12)</f>
        <v>7577.02512</v>
      </c>
      <c r="L125" s="33">
        <f>('Your paths'!$C$10+'Your paths'!D48)*(1+'Your paths'!$C$21)^INT((B125-1)/12)</f>
        <v>2164.86432</v>
      </c>
      <c r="M125" s="33">
        <f>IF('Your paths'!D39="",'Your paths'!$C$12,'Your paths'!D39)+IF(AND('Your paths'!D55="Yes",C125=1,B125&gt;='Your paths'!D57),'Your paths'!D56,0)</f>
        <v>700</v>
      </c>
      <c r="N125" s="33">
        <f>N124+MAX(0,N124)*((1+'Your paths'!$C$29)^(1/12)-1)+Q125-P125+R125</f>
        <v>75407.5813089057</v>
      </c>
      <c r="O125" s="33">
        <f>(O124-R125)*(1+'Your paths'!$C$30)^(1/12)+M125</f>
        <v>67464.7967218556</v>
      </c>
      <c r="P125" s="33">
        <f>IF(AND(B125='Your paths'!D61,'Your paths'!D36&lt;&gt;"Rent"),'Your paths'!D42+'Your paths'!D65+IF('Your paths'!D36="Rent then buy",'Your paths'!D38,0),0)</f>
        <v>0</v>
      </c>
      <c r="Q125" s="33">
        <f>K125-SUM(J125,L125,M125)</f>
        <v>1590.83002205805</v>
      </c>
      <c r="R125" s="33">
        <f>IF(P125&gt;0,MIN(MAX(0,P125-N124),MAX(0,O124)),0)</f>
        <v>0</v>
      </c>
      <c r="S125" s="2">
        <f>IF(P125&gt;0,MAX(0,P125-N124-O124),0)</f>
        <v>0</v>
      </c>
    </row>
    <row r="126" ht="27" customHeight="1">
      <c r="A126" s="3" t="n"/>
      <c r="B126" s="3" t="n">
        <v>53</v>
      </c>
      <c r="C126" s="3">
        <f>IF(B126&gt;='Your paths'!D61,1,0)</f>
        <v>1</v>
      </c>
      <c r="D126" s="33">
        <f>IF(C126=1,0,'Your paths'!D37*(1+'Your paths'!$C$20)^INT((B126-1)/12))</f>
        <v>0</v>
      </c>
      <c r="E126" s="33">
        <f>IF(AND(B126='Your paths'!D61,'Your paths'!D36&lt;&gt;"Rent"),'Your paths'!D63,H125)</f>
        <v>358338.446545687</v>
      </c>
      <c r="F126" s="33">
        <f>IF(C126=1,MIN('Your paths'!D64,E126*(1+'Your paths'!D62)),0)</f>
        <v>2213.89181714195</v>
      </c>
      <c r="G126" s="33">
        <f>E126*'Your paths'!D62</f>
        <v>1331.34184485719</v>
      </c>
      <c r="H126" s="33">
        <f>MAX(0,E126+G126-F126)</f>
        <v>357455.896573402</v>
      </c>
      <c r="I126" s="33">
        <f>IF(C126=0,0,IF(AND(B126='Your paths'!D61,'Your paths'!D36&lt;&gt;"Rent"),'Your paths'!D41,I125)*(1+'Your paths'!$C$31)^(1/12))</f>
        <v>545700.179055915</v>
      </c>
      <c r="J126" s="33">
        <f>(D126+F126+IF(C126=1,('Your paths'!D45/12+'Your paths'!D46+'Your paths'!D47)*(1+'Your paths'!$C$21)^INT((B126-1)/12),0))*'Your paths'!$C$32</f>
        <v>3121.33077794195</v>
      </c>
      <c r="K126" s="33">
        <f>('Your paths'!$C$9+'Your paths'!D49)*(1+'Your paths'!$C$24)^INT((B126-1)/12)</f>
        <v>7577.02512</v>
      </c>
      <c r="L126" s="33">
        <f>('Your paths'!$C$10+'Your paths'!D48)*(1+'Your paths'!$C$21)^INT((B126-1)/12)</f>
        <v>2164.86432</v>
      </c>
      <c r="M126" s="33">
        <f>IF('Your paths'!D39="",'Your paths'!$C$12,'Your paths'!D39)+IF(AND('Your paths'!D55="Yes",C126=1,B126&gt;='Your paths'!D57),'Your paths'!D56,0)</f>
        <v>700</v>
      </c>
      <c r="N126" s="33">
        <f>N125+MAX(0,N125)*((1+'Your paths'!$C$29)^(1/12)-1)+Q126-P126+R126</f>
        <v>77122.9530822765</v>
      </c>
      <c r="O126" s="33">
        <f>(O125-R126)*(1+'Your paths'!$C$30)^(1/12)+M126</f>
        <v>68385.6589107819</v>
      </c>
      <c r="P126" s="33">
        <f>IF(AND(B126='Your paths'!D61,'Your paths'!D36&lt;&gt;"Rent"),'Your paths'!D42+'Your paths'!D65+IF('Your paths'!D36="Rent then buy",'Your paths'!D38,0),0)</f>
        <v>0</v>
      </c>
      <c r="Q126" s="33">
        <f>K126-SUM(J126,L126,M126)</f>
        <v>1590.83002205805</v>
      </c>
      <c r="R126" s="33">
        <f>IF(P126&gt;0,MIN(MAX(0,P126-N125),MAX(0,O125)),0)</f>
        <v>0</v>
      </c>
      <c r="S126" s="2">
        <f>IF(P126&gt;0,MAX(0,P126-N125-O125),0)</f>
        <v>0</v>
      </c>
    </row>
    <row r="127" ht="27" customHeight="1">
      <c r="A127" s="3" t="n"/>
      <c r="B127" s="3" t="n">
        <v>54</v>
      </c>
      <c r="C127" s="3">
        <f>IF(B127&gt;='Your paths'!D61,1,0)</f>
        <v>1</v>
      </c>
      <c r="D127" s="33">
        <f>IF(C127=1,0,'Your paths'!D37*(1+'Your paths'!$C$20)^INT((B127-1)/12))</f>
        <v>0</v>
      </c>
      <c r="E127" s="33">
        <f>IF(AND(B127='Your paths'!D61,'Your paths'!D36&lt;&gt;"Rent"),'Your paths'!D63,H126)</f>
        <v>357455.896573402</v>
      </c>
      <c r="F127" s="33">
        <f>IF(C127=1,MIN('Your paths'!D64,E127*(1+'Your paths'!D62)),0)</f>
        <v>2213.89181714195</v>
      </c>
      <c r="G127" s="33">
        <f>E127*'Your paths'!D62</f>
        <v>1328.06288966942</v>
      </c>
      <c r="H127" s="33">
        <f>MAX(0,E127+G127-F127)</f>
        <v>356570.06764593</v>
      </c>
      <c r="I127" s="33">
        <f>IF(C127=0,0,IF(AND(B127='Your paths'!D61,'Your paths'!D36&lt;&gt;"Rent"),'Your paths'!D41,I126)*(1+'Your paths'!$C$31)^(1/12))</f>
        <v>546601.447268098</v>
      </c>
      <c r="J127" s="33">
        <f>(D127+F127+IF(C127=1,('Your paths'!D45/12+'Your paths'!D46+'Your paths'!D47)*(1+'Your paths'!$C$21)^INT((B127-1)/12),0))*'Your paths'!$C$32</f>
        <v>3121.33077794195</v>
      </c>
      <c r="K127" s="33">
        <f>('Your paths'!$C$9+'Your paths'!D49)*(1+'Your paths'!$C$24)^INT((B127-1)/12)</f>
        <v>7577.02512</v>
      </c>
      <c r="L127" s="33">
        <f>('Your paths'!$C$10+'Your paths'!D48)*(1+'Your paths'!$C$21)^INT((B127-1)/12)</f>
        <v>2164.86432</v>
      </c>
      <c r="M127" s="33">
        <f>IF('Your paths'!D39="",'Your paths'!$C$12,'Your paths'!D39)+IF(AND('Your paths'!D55="Yes",C127=1,B127&gt;='Your paths'!D57),'Your paths'!D56,0)</f>
        <v>700</v>
      </c>
      <c r="N127" s="33">
        <f>N126+MAX(0,N126)*((1+'Your paths'!$C$29)^(1/12)-1)+Q127-P127+R127</f>
        <v>78841.1579315941</v>
      </c>
      <c r="O127" s="33">
        <f>(O126-R127)*(1+'Your paths'!$C$30)^(1/12)+M127</f>
        <v>69309.53576289</v>
      </c>
      <c r="P127" s="33">
        <f>IF(AND(B127='Your paths'!D61,'Your paths'!D36&lt;&gt;"Rent"),'Your paths'!D42+'Your paths'!D65+IF('Your paths'!D36="Rent then buy",'Your paths'!D38,0),0)</f>
        <v>0</v>
      </c>
      <c r="Q127" s="33">
        <f>K127-SUM(J127,L127,M127)</f>
        <v>1590.83002205805</v>
      </c>
      <c r="R127" s="33">
        <f>IF(P127&gt;0,MIN(MAX(0,P127-N126),MAX(0,O126)),0)</f>
        <v>0</v>
      </c>
      <c r="S127" s="2">
        <f>IF(P127&gt;0,MAX(0,P127-N126-O126),0)</f>
        <v>0</v>
      </c>
    </row>
    <row r="128" ht="27" customHeight="1">
      <c r="A128" s="3" t="n"/>
      <c r="B128" s="3" t="n">
        <v>55</v>
      </c>
      <c r="C128" s="3">
        <f>IF(B128&gt;='Your paths'!D61,1,0)</f>
        <v>1</v>
      </c>
      <c r="D128" s="33">
        <f>IF(C128=1,0,'Your paths'!D37*(1+'Your paths'!$C$20)^INT((B128-1)/12))</f>
        <v>0</v>
      </c>
      <c r="E128" s="33">
        <f>IF(AND(B128='Your paths'!D61,'Your paths'!D36&lt;&gt;"Rent"),'Your paths'!D63,H127)</f>
        <v>356570.06764593</v>
      </c>
      <c r="F128" s="33">
        <f>IF(C128=1,MIN('Your paths'!D64,E128*(1+'Your paths'!D62)),0)</f>
        <v>2213.89181714195</v>
      </c>
      <c r="G128" s="33">
        <f>E128*'Your paths'!D62</f>
        <v>1324.77175211525</v>
      </c>
      <c r="H128" s="33">
        <f>MAX(0,E128+G128-F128)</f>
        <v>355680.947580903</v>
      </c>
      <c r="I128" s="33">
        <f>IF(C128=0,0,IF(AND(B128='Your paths'!D61,'Your paths'!D36&lt;&gt;"Rent"),'Your paths'!D41,I127)*(1+'Your paths'!$C$31)^(1/12))</f>
        <v>547504.203998009</v>
      </c>
      <c r="J128" s="33">
        <f>(D128+F128+IF(C128=1,('Your paths'!D45/12+'Your paths'!D46+'Your paths'!D47)*(1+'Your paths'!$C$21)^INT((B128-1)/12),0))*'Your paths'!$C$32</f>
        <v>3121.33077794195</v>
      </c>
      <c r="K128" s="33">
        <f>('Your paths'!$C$9+'Your paths'!D49)*(1+'Your paths'!$C$24)^INT((B128-1)/12)</f>
        <v>7577.02512</v>
      </c>
      <c r="L128" s="33">
        <f>('Your paths'!$C$10+'Your paths'!D48)*(1+'Your paths'!$C$21)^INT((B128-1)/12)</f>
        <v>2164.86432</v>
      </c>
      <c r="M128" s="33">
        <f>IF('Your paths'!D39="",'Your paths'!$C$12,'Your paths'!D39)+IF(AND('Your paths'!D55="Yes",C128=1,B128&gt;='Your paths'!D57),'Your paths'!D56,0)</f>
        <v>700</v>
      </c>
      <c r="N128" s="33">
        <f>N127+MAX(0,N127)*((1+'Your paths'!$C$29)^(1/12)-1)+Q128-P128+R128</f>
        <v>80562.2005359137</v>
      </c>
      <c r="O128" s="33">
        <f>(O127-R128)*(1+'Your paths'!$C$30)^(1/12)+M128</f>
        <v>70236.4371474027</v>
      </c>
      <c r="P128" s="33">
        <f>IF(AND(B128='Your paths'!D61,'Your paths'!D36&lt;&gt;"Rent"),'Your paths'!D42+'Your paths'!D65+IF('Your paths'!D36="Rent then buy",'Your paths'!D38,0),0)</f>
        <v>0</v>
      </c>
      <c r="Q128" s="33">
        <f>K128-SUM(J128,L128,M128)</f>
        <v>1590.83002205805</v>
      </c>
      <c r="R128" s="33">
        <f>IF(P128&gt;0,MIN(MAX(0,P128-N127),MAX(0,O127)),0)</f>
        <v>0</v>
      </c>
      <c r="S128" s="2">
        <f>IF(P128&gt;0,MAX(0,P128-N127-O127),0)</f>
        <v>0</v>
      </c>
    </row>
    <row r="129" ht="27" customHeight="1">
      <c r="A129" s="3" t="n"/>
      <c r="B129" s="3" t="n">
        <v>56</v>
      </c>
      <c r="C129" s="3">
        <f>IF(B129&gt;='Your paths'!D61,1,0)</f>
        <v>1</v>
      </c>
      <c r="D129" s="33">
        <f>IF(C129=1,0,'Your paths'!D37*(1+'Your paths'!$C$20)^INT((B129-1)/12))</f>
        <v>0</v>
      </c>
      <c r="E129" s="33">
        <f>IF(AND(B129='Your paths'!D61,'Your paths'!D36&lt;&gt;"Rent"),'Your paths'!D63,H128)</f>
        <v>355680.947580903</v>
      </c>
      <c r="F129" s="33">
        <f>IF(C129=1,MIN('Your paths'!D64,E129*(1+'Your paths'!D62)),0)</f>
        <v>2213.89181714195</v>
      </c>
      <c r="G129" s="33">
        <f>E129*'Your paths'!D62</f>
        <v>1321.4683869333</v>
      </c>
      <c r="H129" s="33">
        <f>MAX(0,E129+G129-F129)</f>
        <v>354788.524150694</v>
      </c>
      <c r="I129" s="33">
        <f>IF(C129=0,0,IF(AND(B129='Your paths'!D61,'Your paths'!D36&lt;&gt;"Rent"),'Your paths'!D41,I128)*(1+'Your paths'!$C$31)^(1/12))</f>
        <v>548408.451704055</v>
      </c>
      <c r="J129" s="33">
        <f>(D129+F129+IF(C129=1,('Your paths'!D45/12+'Your paths'!D46+'Your paths'!D47)*(1+'Your paths'!$C$21)^INT((B129-1)/12),0))*'Your paths'!$C$32</f>
        <v>3121.33077794195</v>
      </c>
      <c r="K129" s="33">
        <f>('Your paths'!$C$9+'Your paths'!D49)*(1+'Your paths'!$C$24)^INT((B129-1)/12)</f>
        <v>7577.02512</v>
      </c>
      <c r="L129" s="33">
        <f>('Your paths'!$C$10+'Your paths'!D48)*(1+'Your paths'!$C$21)^INT((B129-1)/12)</f>
        <v>2164.86432</v>
      </c>
      <c r="M129" s="33">
        <f>IF('Your paths'!D39="",'Your paths'!$C$12,'Your paths'!D39)+IF(AND('Your paths'!D55="Yes",C129=1,B129&gt;='Your paths'!D57),'Your paths'!D56,0)</f>
        <v>700</v>
      </c>
      <c r="N129" s="33">
        <f>N128+MAX(0,N128)*((1+'Your paths'!$C$29)^(1/12)-1)+Q129-P129+R129</f>
        <v>82286.0855820184</v>
      </c>
      <c r="O129" s="33">
        <f>(O128-R129)*(1+'Your paths'!$C$30)^(1/12)+M129</f>
        <v>71166.3729658521</v>
      </c>
      <c r="P129" s="33">
        <f>IF(AND(B129='Your paths'!D61,'Your paths'!D36&lt;&gt;"Rent"),'Your paths'!D42+'Your paths'!D65+IF('Your paths'!D36="Rent then buy",'Your paths'!D38,0),0)</f>
        <v>0</v>
      </c>
      <c r="Q129" s="33">
        <f>K129-SUM(J129,L129,M129)</f>
        <v>1590.83002205805</v>
      </c>
      <c r="R129" s="33">
        <f>IF(P129&gt;0,MIN(MAX(0,P129-N128),MAX(0,O128)),0)</f>
        <v>0</v>
      </c>
      <c r="S129" s="2">
        <f>IF(P129&gt;0,MAX(0,P129-N128-O128),0)</f>
        <v>0</v>
      </c>
    </row>
    <row r="130" ht="27" customHeight="1">
      <c r="A130" s="3" t="n"/>
      <c r="B130" s="3" t="n">
        <v>57</v>
      </c>
      <c r="C130" s="3">
        <f>IF(B130&gt;='Your paths'!D61,1,0)</f>
        <v>1</v>
      </c>
      <c r="D130" s="33">
        <f>IF(C130=1,0,'Your paths'!D37*(1+'Your paths'!$C$20)^INT((B130-1)/12))</f>
        <v>0</v>
      </c>
      <c r="E130" s="33">
        <f>IF(AND(B130='Your paths'!D61,'Your paths'!D36&lt;&gt;"Rent"),'Your paths'!D63,H129)</f>
        <v>354788.524150694</v>
      </c>
      <c r="F130" s="33">
        <f>IF(C130=1,MIN('Your paths'!D64,E130*(1+'Your paths'!D62)),0)</f>
        <v>2213.89181714195</v>
      </c>
      <c r="G130" s="33">
        <f>E130*'Your paths'!D62</f>
        <v>1318.15274869403</v>
      </c>
      <c r="H130" s="33">
        <f>MAX(0,E130+G130-F130)</f>
        <v>353892.785082246</v>
      </c>
      <c r="I130" s="33">
        <f>IF(C130=0,0,IF(AND(B130='Your paths'!D61,'Your paths'!D36&lt;&gt;"Rent"),'Your paths'!D41,I129)*(1+'Your paths'!$C$31)^(1/12))</f>
        <v>549314.192848704</v>
      </c>
      <c r="J130" s="33">
        <f>(D130+F130+IF(C130=1,('Your paths'!D45/12+'Your paths'!D46+'Your paths'!D47)*(1+'Your paths'!$C$21)^INT((B130-1)/12),0))*'Your paths'!$C$32</f>
        <v>3121.33077794195</v>
      </c>
      <c r="K130" s="33">
        <f>('Your paths'!$C$9+'Your paths'!D49)*(1+'Your paths'!$C$24)^INT((B130-1)/12)</f>
        <v>7577.02512</v>
      </c>
      <c r="L130" s="33">
        <f>('Your paths'!$C$10+'Your paths'!D48)*(1+'Your paths'!$C$21)^INT((B130-1)/12)</f>
        <v>2164.86432</v>
      </c>
      <c r="M130" s="33">
        <f>IF('Your paths'!D39="",'Your paths'!$C$12,'Your paths'!D39)+IF(AND('Your paths'!D55="Yes",C130=1,B130&gt;='Your paths'!D57),'Your paths'!D56,0)</f>
        <v>700</v>
      </c>
      <c r="N130" s="33">
        <f>N129+MAX(0,N129)*((1+'Your paths'!$C$29)^(1/12)-1)+Q130-P130+R130</f>
        <v>84012.817764432</v>
      </c>
      <c r="O130" s="33">
        <f>(O129-R130)*(1+'Your paths'!$C$30)^(1/12)+M130</f>
        <v>72099.3531521852</v>
      </c>
      <c r="P130" s="33">
        <f>IF(AND(B130='Your paths'!D61,'Your paths'!D36&lt;&gt;"Rent"),'Your paths'!D42+'Your paths'!D65+IF('Your paths'!D36="Rent then buy",'Your paths'!D38,0),0)</f>
        <v>0</v>
      </c>
      <c r="Q130" s="33">
        <f>K130-SUM(J130,L130,M130)</f>
        <v>1590.83002205805</v>
      </c>
      <c r="R130" s="33">
        <f>IF(P130&gt;0,MIN(MAX(0,P130-N129),MAX(0,O129)),0)</f>
        <v>0</v>
      </c>
      <c r="S130" s="2">
        <f>IF(P130&gt;0,MAX(0,P130-N129-O129),0)</f>
        <v>0</v>
      </c>
    </row>
    <row r="131" ht="27" customHeight="1">
      <c r="A131" s="3" t="n"/>
      <c r="B131" s="3" t="n">
        <v>58</v>
      </c>
      <c r="C131" s="3">
        <f>IF(B131&gt;='Your paths'!D61,1,0)</f>
        <v>1</v>
      </c>
      <c r="D131" s="33">
        <f>IF(C131=1,0,'Your paths'!D37*(1+'Your paths'!$C$20)^INT((B131-1)/12))</f>
        <v>0</v>
      </c>
      <c r="E131" s="33">
        <f>IF(AND(B131='Your paths'!D61,'Your paths'!D36&lt;&gt;"Rent"),'Your paths'!D63,H130)</f>
        <v>353892.785082246</v>
      </c>
      <c r="F131" s="33">
        <f>IF(C131=1,MIN('Your paths'!D64,E131*(1+'Your paths'!D62)),0)</f>
        <v>2213.89181714195</v>
      </c>
      <c r="G131" s="33">
        <f>E131*'Your paths'!D62</f>
        <v>1314.82479179911</v>
      </c>
      <c r="H131" s="33">
        <f>MAX(0,E131+G131-F131)</f>
        <v>352993.718056903</v>
      </c>
      <c r="I131" s="33">
        <f>IF(C131=0,0,IF(AND(B131='Your paths'!D61,'Your paths'!D36&lt;&gt;"Rent"),'Your paths'!D41,I130)*(1+'Your paths'!$C$31)^(1/12))</f>
        <v>550221.429898492</v>
      </c>
      <c r="J131" s="33">
        <f>(D131+F131+IF(C131=1,('Your paths'!D45/12+'Your paths'!D46+'Your paths'!D47)*(1+'Your paths'!$C$21)^INT((B131-1)/12),0))*'Your paths'!$C$32</f>
        <v>3121.33077794195</v>
      </c>
      <c r="K131" s="33">
        <f>('Your paths'!$C$9+'Your paths'!D49)*(1+'Your paths'!$C$24)^INT((B131-1)/12)</f>
        <v>7577.02512</v>
      </c>
      <c r="L131" s="33">
        <f>('Your paths'!$C$10+'Your paths'!D48)*(1+'Your paths'!$C$21)^INT((B131-1)/12)</f>
        <v>2164.86432</v>
      </c>
      <c r="M131" s="33">
        <f>IF('Your paths'!D39="",'Your paths'!$C$12,'Your paths'!D39)+IF(AND('Your paths'!D55="Yes",C131=1,B131&gt;='Your paths'!D57),'Your paths'!D56,0)</f>
        <v>700</v>
      </c>
      <c r="N131" s="33">
        <f>N130+MAX(0,N130)*((1+'Your paths'!$C$29)^(1/12)-1)+Q131-P131+R131</f>
        <v>85742.4017854314</v>
      </c>
      <c r="O131" s="33">
        <f>(O130-R131)*(1+'Your paths'!$C$30)^(1/12)+M131</f>
        <v>73035.3876728703</v>
      </c>
      <c r="P131" s="33">
        <f>IF(AND(B131='Your paths'!D61,'Your paths'!D36&lt;&gt;"Rent"),'Your paths'!D42+'Your paths'!D65+IF('Your paths'!D36="Rent then buy",'Your paths'!D38,0),0)</f>
        <v>0</v>
      </c>
      <c r="Q131" s="33">
        <f>K131-SUM(J131,L131,M131)</f>
        <v>1590.83002205805</v>
      </c>
      <c r="R131" s="33">
        <f>IF(P131&gt;0,MIN(MAX(0,P131-N130),MAX(0,O130)),0)</f>
        <v>0</v>
      </c>
      <c r="S131" s="2">
        <f>IF(P131&gt;0,MAX(0,P131-N130-O130),0)</f>
        <v>0</v>
      </c>
    </row>
    <row r="132" ht="27" customHeight="1">
      <c r="A132" s="3" t="n"/>
      <c r="B132" s="3" t="n">
        <v>59</v>
      </c>
      <c r="C132" s="3">
        <f>IF(B132&gt;='Your paths'!D61,1,0)</f>
        <v>1</v>
      </c>
      <c r="D132" s="33">
        <f>IF(C132=1,0,'Your paths'!D37*(1+'Your paths'!$C$20)^INT((B132-1)/12))</f>
        <v>0</v>
      </c>
      <c r="E132" s="33">
        <f>IF(AND(B132='Your paths'!D61,'Your paths'!D36&lt;&gt;"Rent"),'Your paths'!D63,H131)</f>
        <v>352993.718056903</v>
      </c>
      <c r="F132" s="33">
        <f>IF(C132=1,MIN('Your paths'!D64,E132*(1+'Your paths'!D62)),0)</f>
        <v>2213.89181714195</v>
      </c>
      <c r="G132" s="33">
        <f>E132*'Your paths'!D62</f>
        <v>1311.48447048079</v>
      </c>
      <c r="H132" s="33">
        <f>MAX(0,E132+G132-F132)</f>
        <v>352091.310710242</v>
      </c>
      <c r="I132" s="33">
        <f>IF(C132=0,0,IF(AND(B132='Your paths'!D61,'Your paths'!D36&lt;&gt;"Rent"),'Your paths'!D41,I131)*(1+'Your paths'!$C$31)^(1/12))</f>
        <v>551130.165324028</v>
      </c>
      <c r="J132" s="33">
        <f>(D132+F132+IF(C132=1,('Your paths'!D45/12+'Your paths'!D46+'Your paths'!D47)*(1+'Your paths'!$C$21)^INT((B132-1)/12),0))*'Your paths'!$C$32</f>
        <v>3121.33077794195</v>
      </c>
      <c r="K132" s="33">
        <f>('Your paths'!$C$9+'Your paths'!D49)*(1+'Your paths'!$C$24)^INT((B132-1)/12)</f>
        <v>7577.02512</v>
      </c>
      <c r="L132" s="33">
        <f>('Your paths'!$C$10+'Your paths'!D48)*(1+'Your paths'!$C$21)^INT((B132-1)/12)</f>
        <v>2164.86432</v>
      </c>
      <c r="M132" s="33">
        <f>IF('Your paths'!D39="",'Your paths'!$C$12,'Your paths'!D39)+IF(AND('Your paths'!D55="Yes",C132=1,B132&gt;='Your paths'!D57),'Your paths'!D56,0)</f>
        <v>700</v>
      </c>
      <c r="N132" s="33">
        <f>N131+MAX(0,N131)*((1+'Your paths'!$C$29)^(1/12)-1)+Q132-P132+R132</f>
        <v>87474.84235506</v>
      </c>
      <c r="O132" s="33">
        <f>(O131-R132)*(1+'Your paths'!$C$30)^(1/12)+M132</f>
        <v>73974.4865270033</v>
      </c>
      <c r="P132" s="33">
        <f>IF(AND(B132='Your paths'!D61,'Your paths'!D36&lt;&gt;"Rent"),'Your paths'!D42+'Your paths'!D65+IF('Your paths'!D36="Rent then buy",'Your paths'!D38,0),0)</f>
        <v>0</v>
      </c>
      <c r="Q132" s="33">
        <f>K132-SUM(J132,L132,M132)</f>
        <v>1590.83002205805</v>
      </c>
      <c r="R132" s="33">
        <f>IF(P132&gt;0,MIN(MAX(0,P132-N131),MAX(0,O131)),0)</f>
        <v>0</v>
      </c>
      <c r="S132" s="2">
        <f>IF(P132&gt;0,MAX(0,P132-N131-O131),0)</f>
        <v>0</v>
      </c>
    </row>
    <row r="133" ht="27" customHeight="1">
      <c r="A133" s="3" t="n"/>
      <c r="B133" s="3" t="n">
        <v>60</v>
      </c>
      <c r="C133" s="3">
        <f>IF(B133&gt;='Your paths'!D61,1,0)</f>
        <v>1</v>
      </c>
      <c r="D133" s="33">
        <f>IF(C133=1,0,'Your paths'!D37*(1+'Your paths'!$C$20)^INT((B133-1)/12))</f>
        <v>0</v>
      </c>
      <c r="E133" s="33">
        <f>IF(AND(B133='Your paths'!D61,'Your paths'!D36&lt;&gt;"Rent"),'Your paths'!D63,H132)</f>
        <v>352091.310710242</v>
      </c>
      <c r="F133" s="33">
        <f>IF(C133=1,MIN('Your paths'!D64,E133*(1+'Your paths'!D62)),0)</f>
        <v>2213.89181714195</v>
      </c>
      <c r="G133" s="33">
        <f>E133*'Your paths'!D62</f>
        <v>1308.13173880129</v>
      </c>
      <c r="H133" s="33">
        <f>MAX(0,E133+G133-F133)</f>
        <v>351185.550631901</v>
      </c>
      <c r="I133" s="33">
        <f>IF(C133=0,0,IF(AND(B133='Your paths'!D61,'Your paths'!D36&lt;&gt;"Rent"),'Your paths'!D41,I132)*(1+'Your paths'!$C$31)^(1/12))</f>
        <v>552040.401600002</v>
      </c>
      <c r="J133" s="33">
        <f>(D133+F133+IF(C133=1,('Your paths'!D45/12+'Your paths'!D46+'Your paths'!D47)*(1+'Your paths'!$C$21)^INT((B133-1)/12),0))*'Your paths'!$C$32</f>
        <v>3121.33077794195</v>
      </c>
      <c r="K133" s="33">
        <f>('Your paths'!$C$9+'Your paths'!D49)*(1+'Your paths'!$C$24)^INT((B133-1)/12)</f>
        <v>7577.02512</v>
      </c>
      <c r="L133" s="33">
        <f>('Your paths'!$C$10+'Your paths'!D48)*(1+'Your paths'!$C$21)^INT((B133-1)/12)</f>
        <v>2164.86432</v>
      </c>
      <c r="M133" s="33">
        <f>IF('Your paths'!D39="",'Your paths'!$C$12,'Your paths'!D39)+IF(AND('Your paths'!D55="Yes",C133=1,B133&gt;='Your paths'!D57),'Your paths'!D56,0)</f>
        <v>700</v>
      </c>
      <c r="N133" s="33">
        <f>N132+MAX(0,N132)*((1+'Your paths'!$C$29)^(1/12)-1)+Q133-P133+R133</f>
        <v>89210.14419114</v>
      </c>
      <c r="O133" s="33">
        <f>(O132-R133)*(1+'Your paths'!$C$30)^(1/12)+M133</f>
        <v>74916.6597464145</v>
      </c>
      <c r="P133" s="33">
        <f>IF(AND(B133='Your paths'!D61,'Your paths'!D36&lt;&gt;"Rent"),'Your paths'!D42+'Your paths'!D65+IF('Your paths'!D36="Rent then buy",'Your paths'!D38,0),0)</f>
        <v>0</v>
      </c>
      <c r="Q133" s="33">
        <f>K133-SUM(J133,L133,M133)</f>
        <v>1590.83002205805</v>
      </c>
      <c r="R133" s="33">
        <f>IF(P133&gt;0,MIN(MAX(0,P133-N132),MAX(0,O132)),0)</f>
        <v>0</v>
      </c>
      <c r="S133" s="2">
        <f>IF(P133&gt;0,MAX(0,P133-N132-O132),0)</f>
        <v>0</v>
      </c>
    </row>
    <row r="134" ht="27" customHeight="1">
      <c r="A134" s="3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3" t="n"/>
      <c r="K134" s="3" t="n"/>
      <c r="L134" s="3" t="n"/>
      <c r="M134" s="3" t="n"/>
      <c r="N134" s="3" t="n"/>
      <c r="O134" s="3" t="n"/>
      <c r="P134" s="3" t="n"/>
      <c r="Q134" s="3" t="n"/>
      <c r="R134" s="3" t="n"/>
    </row>
    <row r="135" ht="27" customHeight="1">
      <c r="A135" s="3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3" t="n"/>
      <c r="K135" s="3" t="n"/>
      <c r="L135" s="3" t="n"/>
      <c r="M135" s="3" t="n"/>
      <c r="N135" s="3" t="n"/>
      <c r="O135" s="3" t="n"/>
      <c r="P135" s="3" t="n"/>
      <c r="Q135" s="3" t="n"/>
      <c r="R135" s="3" t="n"/>
    </row>
    <row r="136" ht="27" customHeight="1">
      <c r="A136" s="3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3" t="n"/>
      <c r="K136" s="3" t="n"/>
      <c r="L136" s="3" t="n"/>
      <c r="M136" s="3" t="n"/>
      <c r="N136" s="3" t="n"/>
      <c r="O136" s="3" t="n"/>
      <c r="P136" s="3" t="n"/>
      <c r="Q136" s="3" t="n"/>
      <c r="R136" s="3" t="n"/>
    </row>
    <row r="137" ht="25" customHeight="1">
      <c r="A137" s="3" t="n"/>
      <c r="B137" s="12" t="inlineStr">
        <is>
          <t>PATH 3</t>
        </is>
      </c>
    </row>
    <row r="138" ht="27" customHeight="1">
      <c r="A138" s="3" t="n"/>
      <c r="B138" s="23" t="inlineStr">
        <is>
          <t>Month</t>
        </is>
      </c>
      <c r="C138" s="23" t="inlineStr">
        <is>
          <t>Owns home?</t>
        </is>
      </c>
      <c r="D138" s="23" t="inlineStr">
        <is>
          <t>Rent</t>
        </is>
      </c>
      <c r="E138" s="23" t="inlineStr">
        <is>
          <t>Opening loan</t>
        </is>
      </c>
      <c r="F138" s="23" t="inlineStr">
        <is>
          <t>Payment</t>
        </is>
      </c>
      <c r="G138" s="23" t="inlineStr">
        <is>
          <t>Interest</t>
        </is>
      </c>
      <c r="H138" s="23" t="inlineStr">
        <is>
          <t>Closing loan</t>
        </is>
      </c>
      <c r="I138" s="23" t="inlineStr">
        <is>
          <t>Home value</t>
        </is>
      </c>
      <c r="J138" s="23" t="inlineStr">
        <is>
          <t>Housing cost</t>
        </is>
      </c>
      <c r="K138" s="23" t="inlineStr">
        <is>
          <t>Income</t>
        </is>
      </c>
      <c r="L138" s="23" t="inlineStr">
        <is>
          <t>Other costs</t>
        </is>
      </c>
      <c r="M138" s="23" t="inlineStr">
        <is>
          <t>Investing</t>
        </is>
      </c>
      <c r="N138" s="23" t="inlineStr">
        <is>
          <t>Cash</t>
        </is>
      </c>
      <c r="O138" s="23" t="inlineStr">
        <is>
          <t>Investments</t>
        </is>
      </c>
      <c r="P138" s="23" t="inlineStr">
        <is>
          <t>Capital outlay</t>
        </is>
      </c>
      <c r="Q138" s="23" t="inlineStr">
        <is>
          <t>Flexibility</t>
        </is>
      </c>
      <c r="R138" s="23" t="inlineStr">
        <is>
          <t>Investments sold</t>
        </is>
      </c>
      <c r="S138" s="29" t="inlineStr">
        <is>
          <t>Purchase funding gap</t>
        </is>
      </c>
    </row>
    <row r="139" ht="27" customHeight="1">
      <c r="A139" s="3" t="n"/>
      <c r="B139" s="3" t="n">
        <v>0</v>
      </c>
      <c r="C139" s="3" t="n">
        <v>0</v>
      </c>
      <c r="D139" s="33" t="n">
        <v>0</v>
      </c>
      <c r="E139" s="33" t="n">
        <v>0</v>
      </c>
      <c r="F139" s="33" t="n">
        <v>0</v>
      </c>
      <c r="G139" s="33" t="n">
        <v>0</v>
      </c>
      <c r="H139" s="33" t="n">
        <v>0</v>
      </c>
      <c r="I139" s="33" t="n">
        <v>0</v>
      </c>
      <c r="J139" s="33" t="n">
        <v>0</v>
      </c>
      <c r="K139" s="33" t="n">
        <v>0</v>
      </c>
      <c r="L139" s="33" t="n">
        <v>0</v>
      </c>
      <c r="M139" s="33" t="n">
        <v>0</v>
      </c>
      <c r="N139" s="33">
        <f>'Your paths'!$C$7-'Your paths'!E38</f>
        <v>46000</v>
      </c>
      <c r="O139" s="33">
        <f>'Your paths'!$C$8</f>
        <v>80000</v>
      </c>
      <c r="P139" s="33">
        <f>'Your paths'!E38</f>
        <v>4000</v>
      </c>
      <c r="Q139" s="33" t="n">
        <v>0</v>
      </c>
      <c r="R139" s="33" t="n">
        <v>0</v>
      </c>
      <c r="S139" s="2" t="n">
        <v>0</v>
      </c>
    </row>
    <row r="140" ht="27" customHeight="1">
      <c r="A140" s="3" t="n"/>
      <c r="B140" s="3" t="n">
        <v>1</v>
      </c>
      <c r="C140" s="3">
        <f>IF(B140&gt;='Your paths'!E61,1,0)</f>
        <v>0</v>
      </c>
      <c r="D140" s="33">
        <f>IF(C140=1,0,'Your paths'!E37*(1+'Your paths'!$C$20)^INT((B140-1)/12))</f>
        <v>1900</v>
      </c>
      <c r="E140" s="33">
        <f>IF(AND(B140='Your paths'!E61,'Your paths'!E36&lt;&gt;"Rent"),'Your paths'!E63,H139)</f>
        <v>0</v>
      </c>
      <c r="F140" s="33">
        <f>IF(C140=1,MIN('Your paths'!E64,E140*(1+'Your paths'!E62)),0)</f>
        <v>0</v>
      </c>
      <c r="G140" s="33">
        <f>E140*'Your paths'!E62</f>
        <v>0</v>
      </c>
      <c r="H140" s="33">
        <f>MAX(0,E140+G140-F140)</f>
        <v>0</v>
      </c>
      <c r="I140" s="33">
        <f>IF(C140=0,0,IF(AND(B140='Your paths'!E61,'Your paths'!E36&lt;&gt;"Rent"),'Your paths'!E41,I139)*(1+'Your paths'!$C$31)^(1/12))</f>
        <v>0</v>
      </c>
      <c r="J140" s="33">
        <f>(D140+F140+IF(C140=1,('Your paths'!E45/12+'Your paths'!E46+'Your paths'!E47)*(1+'Your paths'!$C$21)^INT((B140-1)/12),0))*'Your paths'!$C$32</f>
        <v>1900</v>
      </c>
      <c r="K140" s="33">
        <f>('Your paths'!$C$9+'Your paths'!E49)*(1+'Your paths'!$C$24)^INT((B140-1)/12)</f>
        <v>7000</v>
      </c>
      <c r="L140" s="33">
        <f>('Your paths'!$C$10+'Your paths'!E48)*(1+'Your paths'!$C$21)^INT((B140-1)/12)</f>
        <v>2100</v>
      </c>
      <c r="M140" s="33">
        <f>IF('Your paths'!E39="",'Your paths'!$C$12,'Your paths'!E39)+IF(AND('Your paths'!E55="Yes",C140=1,B140&gt;='Your paths'!E57),'Your paths'!E56,0)</f>
        <v>1200</v>
      </c>
      <c r="N140" s="33">
        <f>N139+MAX(0,N139)*((1+'Your paths'!$C$29)^(1/12)-1)+Q140-P140+R140</f>
        <v>47875.9727398883</v>
      </c>
      <c r="O140" s="33">
        <f>(O139-R140)*(1+'Your paths'!$C$30)^(1/12)+M140</f>
        <v>81461.8991825759</v>
      </c>
      <c r="P140" s="33">
        <f>IF(AND(B140='Your paths'!E61,'Your paths'!E36&lt;&gt;"Rent"),'Your paths'!E42+'Your paths'!E65+IF('Your paths'!E36="Rent then buy",'Your paths'!E38,0),0)</f>
        <v>0</v>
      </c>
      <c r="Q140" s="33">
        <f>K140-SUM(J140,L140,M140)</f>
        <v>1800</v>
      </c>
      <c r="R140" s="33">
        <f>IF(P140&gt;0,MIN(MAX(0,P140-N139),MAX(0,O139)),0)</f>
        <v>0</v>
      </c>
      <c r="S140" s="2">
        <f>IF(P140&gt;0,MAX(0,P140-N139-O139),0)</f>
        <v>0</v>
      </c>
    </row>
    <row r="141" ht="27" customHeight="1">
      <c r="A141" s="3" t="n"/>
      <c r="B141" s="3" t="n">
        <v>2</v>
      </c>
      <c r="C141" s="3">
        <f>IF(B141&gt;='Your paths'!E61,1,0)</f>
        <v>0</v>
      </c>
      <c r="D141" s="33">
        <f>IF(C141=1,0,'Your paths'!E37*(1+'Your paths'!$C$20)^INT((B141-1)/12))</f>
        <v>1900</v>
      </c>
      <c r="E141" s="33">
        <f>IF(AND(B141='Your paths'!E61,'Your paths'!E36&lt;&gt;"Rent"),'Your paths'!E63,H140)</f>
        <v>0</v>
      </c>
      <c r="F141" s="33">
        <f>IF(C141=1,MIN('Your paths'!E64,E141*(1+'Your paths'!E62)),0)</f>
        <v>0</v>
      </c>
      <c r="G141" s="33">
        <f>E141*'Your paths'!E62</f>
        <v>0</v>
      </c>
      <c r="H141" s="33">
        <f>MAX(0,E141+G141-F141)</f>
        <v>0</v>
      </c>
      <c r="I141" s="33">
        <f>IF(C141=0,0,IF(AND(B141='Your paths'!E61,'Your paths'!E36&lt;&gt;"Rent"),'Your paths'!E41,I140)*(1+'Your paths'!$C$31)^(1/12))</f>
        <v>0</v>
      </c>
      <c r="J141" s="33">
        <f>(D141+F141+IF(C141=1,('Your paths'!E45/12+'Your paths'!E46+'Your paths'!E47)*(1+'Your paths'!$C$21)^INT((B141-1)/12),0))*'Your paths'!$C$32</f>
        <v>1900</v>
      </c>
      <c r="K141" s="33">
        <f>('Your paths'!$C$9+'Your paths'!E49)*(1+'Your paths'!$C$24)^INT((B141-1)/12)</f>
        <v>7000</v>
      </c>
      <c r="L141" s="33">
        <f>('Your paths'!$C$10+'Your paths'!E48)*(1+'Your paths'!$C$21)^INT((B141-1)/12)</f>
        <v>2100</v>
      </c>
      <c r="M141" s="33">
        <f>IF('Your paths'!E39="",'Your paths'!$C$12,'Your paths'!E39)+IF(AND('Your paths'!E55="Yes",C141=1,B141&gt;='Your paths'!E57),'Your paths'!E56,0)</f>
        <v>1200</v>
      </c>
      <c r="N141" s="33">
        <f>N140+MAX(0,N140)*((1+'Your paths'!$C$29)^(1/12)-1)+Q141-P141+R141</f>
        <v>49755.0438012768</v>
      </c>
      <c r="O141" s="33">
        <f>(O140-R141)*(1+'Your paths'!$C$30)^(1/12)+M141</f>
        <v>82928.5842426634</v>
      </c>
      <c r="P141" s="33">
        <f>IF(AND(B141='Your paths'!E61,'Your paths'!E36&lt;&gt;"Rent"),'Your paths'!E42+'Your paths'!E65+IF('Your paths'!E36="Rent then buy",'Your paths'!E38,0),0)</f>
        <v>0</v>
      </c>
      <c r="Q141" s="33">
        <f>K141-SUM(J141,L141,M141)</f>
        <v>1800</v>
      </c>
      <c r="R141" s="33">
        <f>IF(P141&gt;0,MIN(MAX(0,P141-N140),MAX(0,O140)),0)</f>
        <v>0</v>
      </c>
      <c r="S141" s="2">
        <f>IF(P141&gt;0,MAX(0,P141-N140-O140),0)</f>
        <v>0</v>
      </c>
    </row>
    <row r="142" ht="27" customHeight="1">
      <c r="A142" s="3" t="n"/>
      <c r="B142" s="3" t="n">
        <v>3</v>
      </c>
      <c r="C142" s="3">
        <f>IF(B142&gt;='Your paths'!E61,1,0)</f>
        <v>0</v>
      </c>
      <c r="D142" s="33">
        <f>IF(C142=1,0,'Your paths'!E37*(1+'Your paths'!$C$20)^INT((B142-1)/12))</f>
        <v>1900</v>
      </c>
      <c r="E142" s="33">
        <f>IF(AND(B142='Your paths'!E61,'Your paths'!E36&lt;&gt;"Rent"),'Your paths'!E63,H141)</f>
        <v>0</v>
      </c>
      <c r="F142" s="33">
        <f>IF(C142=1,MIN('Your paths'!E64,E142*(1+'Your paths'!E62)),0)</f>
        <v>0</v>
      </c>
      <c r="G142" s="33">
        <f>E142*'Your paths'!E62</f>
        <v>0</v>
      </c>
      <c r="H142" s="33">
        <f>MAX(0,E142+G142-F142)</f>
        <v>0</v>
      </c>
      <c r="I142" s="33">
        <f>IF(C142=0,0,IF(AND(B142='Your paths'!E61,'Your paths'!E36&lt;&gt;"Rent"),'Your paths'!E41,I141)*(1+'Your paths'!$C$31)^(1/12))</f>
        <v>0</v>
      </c>
      <c r="J142" s="33">
        <f>(D142+F142+IF(C142=1,('Your paths'!E45/12+'Your paths'!E46+'Your paths'!E47)*(1+'Your paths'!$C$21)^INT((B142-1)/12),0))*'Your paths'!$C$32</f>
        <v>1900</v>
      </c>
      <c r="K142" s="33">
        <f>('Your paths'!$C$9+'Your paths'!E49)*(1+'Your paths'!$C$24)^INT((B142-1)/12)</f>
        <v>7000</v>
      </c>
      <c r="L142" s="33">
        <f>('Your paths'!$C$10+'Your paths'!E48)*(1+'Your paths'!$C$21)^INT((B142-1)/12)</f>
        <v>2100</v>
      </c>
      <c r="M142" s="33">
        <f>IF('Your paths'!E39="",'Your paths'!$C$12,'Your paths'!E39)+IF(AND('Your paths'!E55="Yes",C142=1,B142&gt;='Your paths'!E57),'Your paths'!E56,0)</f>
        <v>1200</v>
      </c>
      <c r="N142" s="33">
        <f>N141+MAX(0,N141)*((1+'Your paths'!$C$29)^(1/12)-1)+Q142-P142+R142</f>
        <v>51637.2183012952</v>
      </c>
      <c r="O142" s="33">
        <f>(O141-R142)*(1+'Your paths'!$C$30)^(1/12)+M142</f>
        <v>84400.07084798</v>
      </c>
      <c r="P142" s="33">
        <f>IF(AND(B142='Your paths'!E61,'Your paths'!E36&lt;&gt;"Rent"),'Your paths'!E42+'Your paths'!E65+IF('Your paths'!E36="Rent then buy",'Your paths'!E38,0),0)</f>
        <v>0</v>
      </c>
      <c r="Q142" s="33">
        <f>K142-SUM(J142,L142,M142)</f>
        <v>1800</v>
      </c>
      <c r="R142" s="33">
        <f>IF(P142&gt;0,MIN(MAX(0,P142-N141),MAX(0,O141)),0)</f>
        <v>0</v>
      </c>
      <c r="S142" s="2">
        <f>IF(P142&gt;0,MAX(0,P142-N141-O141),0)</f>
        <v>0</v>
      </c>
    </row>
    <row r="143" ht="27" customHeight="1">
      <c r="A143" s="3" t="n"/>
      <c r="B143" s="3" t="n">
        <v>4</v>
      </c>
      <c r="C143" s="3">
        <f>IF(B143&gt;='Your paths'!E61,1,0)</f>
        <v>0</v>
      </c>
      <c r="D143" s="33">
        <f>IF(C143=1,0,'Your paths'!E37*(1+'Your paths'!$C$20)^INT((B143-1)/12))</f>
        <v>1900</v>
      </c>
      <c r="E143" s="33">
        <f>IF(AND(B143='Your paths'!E61,'Your paths'!E36&lt;&gt;"Rent"),'Your paths'!E63,H142)</f>
        <v>0</v>
      </c>
      <c r="F143" s="33">
        <f>IF(C143=1,MIN('Your paths'!E64,E143*(1+'Your paths'!E62)),0)</f>
        <v>0</v>
      </c>
      <c r="G143" s="33">
        <f>E143*'Your paths'!E62</f>
        <v>0</v>
      </c>
      <c r="H143" s="33">
        <f>MAX(0,E143+G143-F143)</f>
        <v>0</v>
      </c>
      <c r="I143" s="33">
        <f>IF(C143=0,0,IF(AND(B143='Your paths'!E61,'Your paths'!E36&lt;&gt;"Rent"),'Your paths'!E41,I142)*(1+'Your paths'!$C$31)^(1/12))</f>
        <v>0</v>
      </c>
      <c r="J143" s="33">
        <f>(D143+F143+IF(C143=1,('Your paths'!E45/12+'Your paths'!E46+'Your paths'!E47)*(1+'Your paths'!$C$21)^INT((B143-1)/12),0))*'Your paths'!$C$32</f>
        <v>1900</v>
      </c>
      <c r="K143" s="33">
        <f>('Your paths'!$C$9+'Your paths'!E49)*(1+'Your paths'!$C$24)^INT((B143-1)/12)</f>
        <v>7000</v>
      </c>
      <c r="L143" s="33">
        <f>('Your paths'!$C$10+'Your paths'!E48)*(1+'Your paths'!$C$21)^INT((B143-1)/12)</f>
        <v>2100</v>
      </c>
      <c r="M143" s="33">
        <f>IF('Your paths'!E39="",'Your paths'!$C$12,'Your paths'!E39)+IF(AND('Your paths'!E55="Yes",C143=1,B143&gt;='Your paths'!E57),'Your paths'!E56,0)</f>
        <v>1200</v>
      </c>
      <c r="N143" s="33">
        <f>N142+MAX(0,N142)*((1+'Your paths'!$C$29)^(1/12)-1)+Q143-P143+R143</f>
        <v>53522.5013655248</v>
      </c>
      <c r="O143" s="33">
        <f>(O142-R143)*(1+'Your paths'!$C$30)^(1/12)+M143</f>
        <v>85876.3747175355</v>
      </c>
      <c r="P143" s="33">
        <f>IF(AND(B143='Your paths'!E61,'Your paths'!E36&lt;&gt;"Rent"),'Your paths'!E42+'Your paths'!E65+IF('Your paths'!E36="Rent then buy",'Your paths'!E38,0),0)</f>
        <v>0</v>
      </c>
      <c r="Q143" s="33">
        <f>K143-SUM(J143,L143,M143)</f>
        <v>1800</v>
      </c>
      <c r="R143" s="33">
        <f>IF(P143&gt;0,MIN(MAX(0,P143-N142),MAX(0,O142)),0)</f>
        <v>0</v>
      </c>
      <c r="S143" s="2">
        <f>IF(P143&gt;0,MAX(0,P143-N142-O142),0)</f>
        <v>0</v>
      </c>
    </row>
    <row r="144" ht="27" customHeight="1">
      <c r="A144" s="3" t="n"/>
      <c r="B144" s="3" t="n">
        <v>5</v>
      </c>
      <c r="C144" s="3">
        <f>IF(B144&gt;='Your paths'!E61,1,0)</f>
        <v>0</v>
      </c>
      <c r="D144" s="33">
        <f>IF(C144=1,0,'Your paths'!E37*(1+'Your paths'!$C$20)^INT((B144-1)/12))</f>
        <v>1900</v>
      </c>
      <c r="E144" s="33">
        <f>IF(AND(B144='Your paths'!E61,'Your paths'!E36&lt;&gt;"Rent"),'Your paths'!E63,H143)</f>
        <v>0</v>
      </c>
      <c r="F144" s="33">
        <f>IF(C144=1,MIN('Your paths'!E64,E144*(1+'Your paths'!E62)),0)</f>
        <v>0</v>
      </c>
      <c r="G144" s="33">
        <f>E144*'Your paths'!E62</f>
        <v>0</v>
      </c>
      <c r="H144" s="33">
        <f>MAX(0,E144+G144-F144)</f>
        <v>0</v>
      </c>
      <c r="I144" s="33">
        <f>IF(C144=0,0,IF(AND(B144='Your paths'!E61,'Your paths'!E36&lt;&gt;"Rent"),'Your paths'!E41,I143)*(1+'Your paths'!$C$31)^(1/12))</f>
        <v>0</v>
      </c>
      <c r="J144" s="33">
        <f>(D144+F144+IF(C144=1,('Your paths'!E45/12+'Your paths'!E46+'Your paths'!E47)*(1+'Your paths'!$C$21)^INT((B144-1)/12),0))*'Your paths'!$C$32</f>
        <v>1900</v>
      </c>
      <c r="K144" s="33">
        <f>('Your paths'!$C$9+'Your paths'!E49)*(1+'Your paths'!$C$24)^INT((B144-1)/12)</f>
        <v>7000</v>
      </c>
      <c r="L144" s="33">
        <f>('Your paths'!$C$10+'Your paths'!E48)*(1+'Your paths'!$C$21)^INT((B144-1)/12)</f>
        <v>2100</v>
      </c>
      <c r="M144" s="33">
        <f>IF('Your paths'!E39="",'Your paths'!$C$12,'Your paths'!E39)+IF(AND('Your paths'!E55="Yes",C144=1,B144&gt;='Your paths'!E57),'Your paths'!E56,0)</f>
        <v>1200</v>
      </c>
      <c r="N144" s="33">
        <f>N143+MAX(0,N143)*((1+'Your paths'!$C$29)^(1/12)-1)+Q144-P144+R144</f>
        <v>55410.8981280121</v>
      </c>
      <c r="O144" s="33">
        <f>(O143-R144)*(1+'Your paths'!$C$30)^(1/12)+M144</f>
        <v>87357.5116217993</v>
      </c>
      <c r="P144" s="33">
        <f>IF(AND(B144='Your paths'!E61,'Your paths'!E36&lt;&gt;"Rent"),'Your paths'!E42+'Your paths'!E65+IF('Your paths'!E36="Rent then buy",'Your paths'!E38,0),0)</f>
        <v>0</v>
      </c>
      <c r="Q144" s="33">
        <f>K144-SUM(J144,L144,M144)</f>
        <v>1800</v>
      </c>
      <c r="R144" s="33">
        <f>IF(P144&gt;0,MIN(MAX(0,P144-N143),MAX(0,O143)),0)</f>
        <v>0</v>
      </c>
      <c r="S144" s="2">
        <f>IF(P144&gt;0,MAX(0,P144-N143-O143),0)</f>
        <v>0</v>
      </c>
    </row>
    <row r="145" ht="27" customHeight="1">
      <c r="A145" s="3" t="n"/>
      <c r="B145" s="3" t="n">
        <v>6</v>
      </c>
      <c r="C145" s="3">
        <f>IF(B145&gt;='Your paths'!E61,1,0)</f>
        <v>0</v>
      </c>
      <c r="D145" s="33">
        <f>IF(C145=1,0,'Your paths'!E37*(1+'Your paths'!$C$20)^INT((B145-1)/12))</f>
        <v>1900</v>
      </c>
      <c r="E145" s="33">
        <f>IF(AND(B145='Your paths'!E61,'Your paths'!E36&lt;&gt;"Rent"),'Your paths'!E63,H144)</f>
        <v>0</v>
      </c>
      <c r="F145" s="33">
        <f>IF(C145=1,MIN('Your paths'!E64,E145*(1+'Your paths'!E62)),0)</f>
        <v>0</v>
      </c>
      <c r="G145" s="33">
        <f>E145*'Your paths'!E62</f>
        <v>0</v>
      </c>
      <c r="H145" s="33">
        <f>MAX(0,E145+G145-F145)</f>
        <v>0</v>
      </c>
      <c r="I145" s="33">
        <f>IF(C145=0,0,IF(AND(B145='Your paths'!E61,'Your paths'!E36&lt;&gt;"Rent"),'Your paths'!E41,I144)*(1+'Your paths'!$C$31)^(1/12))</f>
        <v>0</v>
      </c>
      <c r="J145" s="33">
        <f>(D145+F145+IF(C145=1,('Your paths'!E45/12+'Your paths'!E46+'Your paths'!E47)*(1+'Your paths'!$C$21)^INT((B145-1)/12),0))*'Your paths'!$C$32</f>
        <v>1900</v>
      </c>
      <c r="K145" s="33">
        <f>('Your paths'!$C$9+'Your paths'!E49)*(1+'Your paths'!$C$24)^INT((B145-1)/12)</f>
        <v>7000</v>
      </c>
      <c r="L145" s="33">
        <f>('Your paths'!$C$10+'Your paths'!E48)*(1+'Your paths'!$C$21)^INT((B145-1)/12)</f>
        <v>2100</v>
      </c>
      <c r="M145" s="33">
        <f>IF('Your paths'!E39="",'Your paths'!$C$12,'Your paths'!E39)+IF(AND('Your paths'!E55="Yes",C145=1,B145&gt;='Your paths'!E57),'Your paths'!E56,0)</f>
        <v>1200</v>
      </c>
      <c r="N145" s="33">
        <f>N144+MAX(0,N144)*((1+'Your paths'!$C$29)^(1/12)-1)+Q145-P145+R145</f>
        <v>57302.4137312829</v>
      </c>
      <c r="O145" s="33">
        <f>(O144-R145)*(1+'Your paths'!$C$30)^(1/12)+M145</f>
        <v>88843.4973828695</v>
      </c>
      <c r="P145" s="33">
        <f>IF(AND(B145='Your paths'!E61,'Your paths'!E36&lt;&gt;"Rent"),'Your paths'!E42+'Your paths'!E65+IF('Your paths'!E36="Rent then buy",'Your paths'!E38,0),0)</f>
        <v>0</v>
      </c>
      <c r="Q145" s="33">
        <f>K145-SUM(J145,L145,M145)</f>
        <v>1800</v>
      </c>
      <c r="R145" s="33">
        <f>IF(P145&gt;0,MIN(MAX(0,P145-N144),MAX(0,O144)),0)</f>
        <v>0</v>
      </c>
      <c r="S145" s="2">
        <f>IF(P145&gt;0,MAX(0,P145-N144-O144),0)</f>
        <v>0</v>
      </c>
    </row>
    <row r="146" ht="27" customHeight="1">
      <c r="A146" s="3" t="n"/>
      <c r="B146" s="3" t="n">
        <v>7</v>
      </c>
      <c r="C146" s="3">
        <f>IF(B146&gt;='Your paths'!E61,1,0)</f>
        <v>0</v>
      </c>
      <c r="D146" s="33">
        <f>IF(C146=1,0,'Your paths'!E37*(1+'Your paths'!$C$20)^INT((B146-1)/12))</f>
        <v>1900</v>
      </c>
      <c r="E146" s="33">
        <f>IF(AND(B146='Your paths'!E61,'Your paths'!E36&lt;&gt;"Rent"),'Your paths'!E63,H145)</f>
        <v>0</v>
      </c>
      <c r="F146" s="33">
        <f>IF(C146=1,MIN('Your paths'!E64,E146*(1+'Your paths'!E62)),0)</f>
        <v>0</v>
      </c>
      <c r="G146" s="33">
        <f>E146*'Your paths'!E62</f>
        <v>0</v>
      </c>
      <c r="H146" s="33">
        <f>MAX(0,E146+G146-F146)</f>
        <v>0</v>
      </c>
      <c r="I146" s="33">
        <f>IF(C146=0,0,IF(AND(B146='Your paths'!E61,'Your paths'!E36&lt;&gt;"Rent"),'Your paths'!E41,I145)*(1+'Your paths'!$C$31)^(1/12))</f>
        <v>0</v>
      </c>
      <c r="J146" s="33">
        <f>(D146+F146+IF(C146=1,('Your paths'!E45/12+'Your paths'!E46+'Your paths'!E47)*(1+'Your paths'!$C$21)^INT((B146-1)/12),0))*'Your paths'!$C$32</f>
        <v>1900</v>
      </c>
      <c r="K146" s="33">
        <f>('Your paths'!$C$9+'Your paths'!E49)*(1+'Your paths'!$C$24)^INT((B146-1)/12)</f>
        <v>7000</v>
      </c>
      <c r="L146" s="33">
        <f>('Your paths'!$C$10+'Your paths'!E48)*(1+'Your paths'!$C$21)^INT((B146-1)/12)</f>
        <v>2100</v>
      </c>
      <c r="M146" s="33">
        <f>IF('Your paths'!E39="",'Your paths'!$C$12,'Your paths'!E39)+IF(AND('Your paths'!E55="Yes",C146=1,B146&gt;='Your paths'!E57),'Your paths'!E56,0)</f>
        <v>1200</v>
      </c>
      <c r="N146" s="33">
        <f>N145+MAX(0,N145)*((1+'Your paths'!$C$29)^(1/12)-1)+Q146-P146+R146</f>
        <v>59197.0533263564</v>
      </c>
      <c r="O146" s="33">
        <f>(O145-R146)*(1+'Your paths'!$C$30)^(1/12)+M146</f>
        <v>90334.3478746415</v>
      </c>
      <c r="P146" s="33">
        <f>IF(AND(B146='Your paths'!E61,'Your paths'!E36&lt;&gt;"Rent"),'Your paths'!E42+'Your paths'!E65+IF('Your paths'!E36="Rent then buy",'Your paths'!E38,0),0)</f>
        <v>0</v>
      </c>
      <c r="Q146" s="33">
        <f>K146-SUM(J146,L146,M146)</f>
        <v>1800</v>
      </c>
      <c r="R146" s="33">
        <f>IF(P146&gt;0,MIN(MAX(0,P146-N145),MAX(0,O145)),0)</f>
        <v>0</v>
      </c>
      <c r="S146" s="2">
        <f>IF(P146&gt;0,MAX(0,P146-N145-O145),0)</f>
        <v>0</v>
      </c>
    </row>
    <row r="147" ht="27" customHeight="1">
      <c r="A147" s="3" t="n"/>
      <c r="B147" s="3" t="n">
        <v>8</v>
      </c>
      <c r="C147" s="3">
        <f>IF(B147&gt;='Your paths'!E61,1,0)</f>
        <v>0</v>
      </c>
      <c r="D147" s="33">
        <f>IF(C147=1,0,'Your paths'!E37*(1+'Your paths'!$C$20)^INT((B147-1)/12))</f>
        <v>1900</v>
      </c>
      <c r="E147" s="33">
        <f>IF(AND(B147='Your paths'!E61,'Your paths'!E36&lt;&gt;"Rent"),'Your paths'!E63,H146)</f>
        <v>0</v>
      </c>
      <c r="F147" s="33">
        <f>IF(C147=1,MIN('Your paths'!E64,E147*(1+'Your paths'!E62)),0)</f>
        <v>0</v>
      </c>
      <c r="G147" s="33">
        <f>E147*'Your paths'!E62</f>
        <v>0</v>
      </c>
      <c r="H147" s="33">
        <f>MAX(0,E147+G147-F147)</f>
        <v>0</v>
      </c>
      <c r="I147" s="33">
        <f>IF(C147=0,0,IF(AND(B147='Your paths'!E61,'Your paths'!E36&lt;&gt;"Rent"),'Your paths'!E41,I146)*(1+'Your paths'!$C$31)^(1/12))</f>
        <v>0</v>
      </c>
      <c r="J147" s="33">
        <f>(D147+F147+IF(C147=1,('Your paths'!E45/12+'Your paths'!E46+'Your paths'!E47)*(1+'Your paths'!$C$21)^INT((B147-1)/12),0))*'Your paths'!$C$32</f>
        <v>1900</v>
      </c>
      <c r="K147" s="33">
        <f>('Your paths'!$C$9+'Your paths'!E49)*(1+'Your paths'!$C$24)^INT((B147-1)/12)</f>
        <v>7000</v>
      </c>
      <c r="L147" s="33">
        <f>('Your paths'!$C$10+'Your paths'!E48)*(1+'Your paths'!$C$21)^INT((B147-1)/12)</f>
        <v>2100</v>
      </c>
      <c r="M147" s="33">
        <f>IF('Your paths'!E39="",'Your paths'!$C$12,'Your paths'!E39)+IF(AND('Your paths'!E55="Yes",C147=1,B147&gt;='Your paths'!E57),'Your paths'!E56,0)</f>
        <v>1200</v>
      </c>
      <c r="N147" s="33">
        <f>N146+MAX(0,N146)*((1+'Your paths'!$C$29)^(1/12)-1)+Q147-P147+R147</f>
        <v>61094.822072759</v>
      </c>
      <c r="O147" s="33">
        <f>(O146-R147)*(1+'Your paths'!$C$30)^(1/12)+M147</f>
        <v>91830.0790229777</v>
      </c>
      <c r="P147" s="33">
        <f>IF(AND(B147='Your paths'!E61,'Your paths'!E36&lt;&gt;"Rent"),'Your paths'!E42+'Your paths'!E65+IF('Your paths'!E36="Rent then buy",'Your paths'!E38,0),0)</f>
        <v>0</v>
      </c>
      <c r="Q147" s="33">
        <f>K147-SUM(J147,L147,M147)</f>
        <v>1800</v>
      </c>
      <c r="R147" s="33">
        <f>IF(P147&gt;0,MIN(MAX(0,P147-N146),MAX(0,O146)),0)</f>
        <v>0</v>
      </c>
      <c r="S147" s="2">
        <f>IF(P147&gt;0,MAX(0,P147-N146-O146),0)</f>
        <v>0</v>
      </c>
    </row>
    <row r="148" ht="27" customHeight="1">
      <c r="A148" s="3" t="n"/>
      <c r="B148" s="3" t="n">
        <v>9</v>
      </c>
      <c r="C148" s="3">
        <f>IF(B148&gt;='Your paths'!E61,1,0)</f>
        <v>0</v>
      </c>
      <c r="D148" s="33">
        <f>IF(C148=1,0,'Your paths'!E37*(1+'Your paths'!$C$20)^INT((B148-1)/12))</f>
        <v>1900</v>
      </c>
      <c r="E148" s="33">
        <f>IF(AND(B148='Your paths'!E61,'Your paths'!E36&lt;&gt;"Rent"),'Your paths'!E63,H147)</f>
        <v>0</v>
      </c>
      <c r="F148" s="33">
        <f>IF(C148=1,MIN('Your paths'!E64,E148*(1+'Your paths'!E62)),0)</f>
        <v>0</v>
      </c>
      <c r="G148" s="33">
        <f>E148*'Your paths'!E62</f>
        <v>0</v>
      </c>
      <c r="H148" s="33">
        <f>MAX(0,E148+G148-F148)</f>
        <v>0</v>
      </c>
      <c r="I148" s="33">
        <f>IF(C148=0,0,IF(AND(B148='Your paths'!E61,'Your paths'!E36&lt;&gt;"Rent"),'Your paths'!E41,I147)*(1+'Your paths'!$C$31)^(1/12))</f>
        <v>0</v>
      </c>
      <c r="J148" s="33">
        <f>(D148+F148+IF(C148=1,('Your paths'!E45/12+'Your paths'!E46+'Your paths'!E47)*(1+'Your paths'!$C$21)^INT((B148-1)/12),0))*'Your paths'!$C$32</f>
        <v>1900</v>
      </c>
      <c r="K148" s="33">
        <f>('Your paths'!$C$9+'Your paths'!E49)*(1+'Your paths'!$C$24)^INT((B148-1)/12)</f>
        <v>7000</v>
      </c>
      <c r="L148" s="33">
        <f>('Your paths'!$C$10+'Your paths'!E48)*(1+'Your paths'!$C$21)^INT((B148-1)/12)</f>
        <v>2100</v>
      </c>
      <c r="M148" s="33">
        <f>IF('Your paths'!E39="",'Your paths'!$C$12,'Your paths'!E39)+IF(AND('Your paths'!E55="Yes",C148=1,B148&gt;='Your paths'!E57),'Your paths'!E56,0)</f>
        <v>1200</v>
      </c>
      <c r="N148" s="33">
        <f>N147+MAX(0,N147)*((1+'Your paths'!$C$29)^(1/12)-1)+Q148-P148+R148</f>
        <v>62995.7251385385</v>
      </c>
      <c r="O148" s="33">
        <f>(O147-R148)*(1+'Your paths'!$C$30)^(1/12)+M148</f>
        <v>93330.7068058777</v>
      </c>
      <c r="P148" s="33">
        <f>IF(AND(B148='Your paths'!E61,'Your paths'!E36&lt;&gt;"Rent"),'Your paths'!E42+'Your paths'!E65+IF('Your paths'!E36="Rent then buy",'Your paths'!E38,0),0)</f>
        <v>0</v>
      </c>
      <c r="Q148" s="33">
        <f>K148-SUM(J148,L148,M148)</f>
        <v>1800</v>
      </c>
      <c r="R148" s="33">
        <f>IF(P148&gt;0,MIN(MAX(0,P148-N147),MAX(0,O147)),0)</f>
        <v>0</v>
      </c>
      <c r="S148" s="2">
        <f>IF(P148&gt;0,MAX(0,P148-N147-O147),0)</f>
        <v>0</v>
      </c>
    </row>
    <row r="149" ht="27" customHeight="1">
      <c r="A149" s="3" t="n"/>
      <c r="B149" s="3" t="n">
        <v>10</v>
      </c>
      <c r="C149" s="3">
        <f>IF(B149&gt;='Your paths'!E61,1,0)</f>
        <v>0</v>
      </c>
      <c r="D149" s="33">
        <f>IF(C149=1,0,'Your paths'!E37*(1+'Your paths'!$C$20)^INT((B149-1)/12))</f>
        <v>1900</v>
      </c>
      <c r="E149" s="33">
        <f>IF(AND(B149='Your paths'!E61,'Your paths'!E36&lt;&gt;"Rent"),'Your paths'!E63,H148)</f>
        <v>0</v>
      </c>
      <c r="F149" s="33">
        <f>IF(C149=1,MIN('Your paths'!E64,E149*(1+'Your paths'!E62)),0)</f>
        <v>0</v>
      </c>
      <c r="G149" s="33">
        <f>E149*'Your paths'!E62</f>
        <v>0</v>
      </c>
      <c r="H149" s="33">
        <f>MAX(0,E149+G149-F149)</f>
        <v>0</v>
      </c>
      <c r="I149" s="33">
        <f>IF(C149=0,0,IF(AND(B149='Your paths'!E61,'Your paths'!E36&lt;&gt;"Rent"),'Your paths'!E41,I148)*(1+'Your paths'!$C$31)^(1/12))</f>
        <v>0</v>
      </c>
      <c r="J149" s="33">
        <f>(D149+F149+IF(C149=1,('Your paths'!E45/12+'Your paths'!E46+'Your paths'!E47)*(1+'Your paths'!$C$21)^INT((B149-1)/12),0))*'Your paths'!$C$32</f>
        <v>1900</v>
      </c>
      <c r="K149" s="33">
        <f>('Your paths'!$C$9+'Your paths'!E49)*(1+'Your paths'!$C$24)^INT((B149-1)/12)</f>
        <v>7000</v>
      </c>
      <c r="L149" s="33">
        <f>('Your paths'!$C$10+'Your paths'!E48)*(1+'Your paths'!$C$21)^INT((B149-1)/12)</f>
        <v>2100</v>
      </c>
      <c r="M149" s="33">
        <f>IF('Your paths'!E39="",'Your paths'!$C$12,'Your paths'!E39)+IF(AND('Your paths'!E55="Yes",C149=1,B149&gt;='Your paths'!E57),'Your paths'!E56,0)</f>
        <v>1200</v>
      </c>
      <c r="N149" s="33">
        <f>N148+MAX(0,N148)*((1+'Your paths'!$C$29)^(1/12)-1)+Q149-P149+R149</f>
        <v>64899.7677002782</v>
      </c>
      <c r="O149" s="33">
        <f>(O148-R149)*(1+'Your paths'!$C$30)^(1/12)+M149</f>
        <v>94836.2472536488</v>
      </c>
      <c r="P149" s="33">
        <f>IF(AND(B149='Your paths'!E61,'Your paths'!E36&lt;&gt;"Rent"),'Your paths'!E42+'Your paths'!E65+IF('Your paths'!E36="Rent then buy",'Your paths'!E38,0),0)</f>
        <v>0</v>
      </c>
      <c r="Q149" s="33">
        <f>K149-SUM(J149,L149,M149)</f>
        <v>1800</v>
      </c>
      <c r="R149" s="33">
        <f>IF(P149&gt;0,MIN(MAX(0,P149-N148),MAX(0,O148)),0)</f>
        <v>0</v>
      </c>
      <c r="S149" s="2">
        <f>IF(P149&gt;0,MAX(0,P149-N148-O148),0)</f>
        <v>0</v>
      </c>
    </row>
    <row r="150" ht="27" customHeight="1">
      <c r="A150" s="3" t="n"/>
      <c r="B150" s="3" t="n">
        <v>11</v>
      </c>
      <c r="C150" s="3">
        <f>IF(B150&gt;='Your paths'!E61,1,0)</f>
        <v>0</v>
      </c>
      <c r="D150" s="33">
        <f>IF(C150=1,0,'Your paths'!E37*(1+'Your paths'!$C$20)^INT((B150-1)/12))</f>
        <v>1900</v>
      </c>
      <c r="E150" s="33">
        <f>IF(AND(B150='Your paths'!E61,'Your paths'!E36&lt;&gt;"Rent"),'Your paths'!E63,H149)</f>
        <v>0</v>
      </c>
      <c r="F150" s="33">
        <f>IF(C150=1,MIN('Your paths'!E64,E150*(1+'Your paths'!E62)),0)</f>
        <v>0</v>
      </c>
      <c r="G150" s="33">
        <f>E150*'Your paths'!E62</f>
        <v>0</v>
      </c>
      <c r="H150" s="33">
        <f>MAX(0,E150+G150-F150)</f>
        <v>0</v>
      </c>
      <c r="I150" s="33">
        <f>IF(C150=0,0,IF(AND(B150='Your paths'!E61,'Your paths'!E36&lt;&gt;"Rent"),'Your paths'!E41,I149)*(1+'Your paths'!$C$31)^(1/12))</f>
        <v>0</v>
      </c>
      <c r="J150" s="33">
        <f>(D150+F150+IF(C150=1,('Your paths'!E45/12+'Your paths'!E46+'Your paths'!E47)*(1+'Your paths'!$C$21)^INT((B150-1)/12),0))*'Your paths'!$C$32</f>
        <v>1900</v>
      </c>
      <c r="K150" s="33">
        <f>('Your paths'!$C$9+'Your paths'!E49)*(1+'Your paths'!$C$24)^INT((B150-1)/12)</f>
        <v>7000</v>
      </c>
      <c r="L150" s="33">
        <f>('Your paths'!$C$10+'Your paths'!E48)*(1+'Your paths'!$C$21)^INT((B150-1)/12)</f>
        <v>2100</v>
      </c>
      <c r="M150" s="33">
        <f>IF('Your paths'!E39="",'Your paths'!$C$12,'Your paths'!E39)+IF(AND('Your paths'!E55="Yes",C150=1,B150&gt;='Your paths'!E57),'Your paths'!E56,0)</f>
        <v>1200</v>
      </c>
      <c r="N150" s="33">
        <f>N149+MAX(0,N149)*((1+'Your paths'!$C$29)^(1/12)-1)+Q150-P150+R150</f>
        <v>66806.954943111</v>
      </c>
      <c r="O150" s="33">
        <f>(O149-R150)*(1+'Your paths'!$C$30)^(1/12)+M150</f>
        <v>96346.7164490775</v>
      </c>
      <c r="P150" s="33">
        <f>IF(AND(B150='Your paths'!E61,'Your paths'!E36&lt;&gt;"Rent"),'Your paths'!E42+'Your paths'!E65+IF('Your paths'!E36="Rent then buy",'Your paths'!E38,0),0)</f>
        <v>0</v>
      </c>
      <c r="Q150" s="33">
        <f>K150-SUM(J150,L150,M150)</f>
        <v>1800</v>
      </c>
      <c r="R150" s="33">
        <f>IF(P150&gt;0,MIN(MAX(0,P150-N149),MAX(0,O149)),0)</f>
        <v>0</v>
      </c>
      <c r="S150" s="2">
        <f>IF(P150&gt;0,MAX(0,P150-N149-O149),0)</f>
        <v>0</v>
      </c>
    </row>
    <row r="151" ht="27" customHeight="1">
      <c r="A151" s="3" t="n"/>
      <c r="B151" s="3" t="n">
        <v>12</v>
      </c>
      <c r="C151" s="3">
        <f>IF(B151&gt;='Your paths'!E61,1,0)</f>
        <v>0</v>
      </c>
      <c r="D151" s="33">
        <f>IF(C151=1,0,'Your paths'!E37*(1+'Your paths'!$C$20)^INT((B151-1)/12))</f>
        <v>1900</v>
      </c>
      <c r="E151" s="33">
        <f>IF(AND(B151='Your paths'!E61,'Your paths'!E36&lt;&gt;"Rent"),'Your paths'!E63,H150)</f>
        <v>0</v>
      </c>
      <c r="F151" s="33">
        <f>IF(C151=1,MIN('Your paths'!E64,E151*(1+'Your paths'!E62)),0)</f>
        <v>0</v>
      </c>
      <c r="G151" s="33">
        <f>E151*'Your paths'!E62</f>
        <v>0</v>
      </c>
      <c r="H151" s="33">
        <f>MAX(0,E151+G151-F151)</f>
        <v>0</v>
      </c>
      <c r="I151" s="33">
        <f>IF(C151=0,0,IF(AND(B151='Your paths'!E61,'Your paths'!E36&lt;&gt;"Rent"),'Your paths'!E41,I150)*(1+'Your paths'!$C$31)^(1/12))</f>
        <v>0</v>
      </c>
      <c r="J151" s="33">
        <f>(D151+F151+IF(C151=1,('Your paths'!E45/12+'Your paths'!E46+'Your paths'!E47)*(1+'Your paths'!$C$21)^INT((B151-1)/12),0))*'Your paths'!$C$32</f>
        <v>1900</v>
      </c>
      <c r="K151" s="33">
        <f>('Your paths'!$C$9+'Your paths'!E49)*(1+'Your paths'!$C$24)^INT((B151-1)/12)</f>
        <v>7000</v>
      </c>
      <c r="L151" s="33">
        <f>('Your paths'!$C$10+'Your paths'!E48)*(1+'Your paths'!$C$21)^INT((B151-1)/12)</f>
        <v>2100</v>
      </c>
      <c r="M151" s="33">
        <f>IF('Your paths'!E39="",'Your paths'!$C$12,'Your paths'!E39)+IF(AND('Your paths'!E55="Yes",C151=1,B151&gt;='Your paths'!E57),'Your paths'!E56,0)</f>
        <v>1200</v>
      </c>
      <c r="N151" s="33">
        <f>N150+MAX(0,N150)*((1+'Your paths'!$C$29)^(1/12)-1)+Q151-P151+R151</f>
        <v>68717.2920607332</v>
      </c>
      <c r="O151" s="33">
        <f>(O150-R151)*(1+'Your paths'!$C$30)^(1/12)+M151</f>
        <v>97862.1305276011</v>
      </c>
      <c r="P151" s="33">
        <f>IF(AND(B151='Your paths'!E61,'Your paths'!E36&lt;&gt;"Rent"),'Your paths'!E42+'Your paths'!E65+IF('Your paths'!E36="Rent then buy",'Your paths'!E38,0),0)</f>
        <v>0</v>
      </c>
      <c r="Q151" s="33">
        <f>K151-SUM(J151,L151,M151)</f>
        <v>1800</v>
      </c>
      <c r="R151" s="33">
        <f>IF(P151&gt;0,MIN(MAX(0,P151-N150),MAX(0,O150)),0)</f>
        <v>0</v>
      </c>
      <c r="S151" s="2">
        <f>IF(P151&gt;0,MAX(0,P151-N150-O150),0)</f>
        <v>0</v>
      </c>
    </row>
    <row r="152" ht="27" customHeight="1">
      <c r="A152" s="3" t="n"/>
      <c r="B152" s="3" t="n">
        <v>13</v>
      </c>
      <c r="C152" s="3">
        <f>IF(B152&gt;='Your paths'!E61,1,0)</f>
        <v>0</v>
      </c>
      <c r="D152" s="33">
        <f>IF(C152=1,0,'Your paths'!E37*(1+'Your paths'!$C$20)^INT((B152-1)/12))</f>
        <v>1938</v>
      </c>
      <c r="E152" s="33">
        <f>IF(AND(B152='Your paths'!E61,'Your paths'!E36&lt;&gt;"Rent"),'Your paths'!E63,H151)</f>
        <v>0</v>
      </c>
      <c r="F152" s="33">
        <f>IF(C152=1,MIN('Your paths'!E64,E152*(1+'Your paths'!E62)),0)</f>
        <v>0</v>
      </c>
      <c r="G152" s="33">
        <f>E152*'Your paths'!E62</f>
        <v>0</v>
      </c>
      <c r="H152" s="33">
        <f>MAX(0,E152+G152-F152)</f>
        <v>0</v>
      </c>
      <c r="I152" s="33">
        <f>IF(C152=0,0,IF(AND(B152='Your paths'!E61,'Your paths'!E36&lt;&gt;"Rent"),'Your paths'!E41,I151)*(1+'Your paths'!$C$31)^(1/12))</f>
        <v>0</v>
      </c>
      <c r="J152" s="33">
        <f>(D152+F152+IF(C152=1,('Your paths'!E45/12+'Your paths'!E46+'Your paths'!E47)*(1+'Your paths'!$C$21)^INT((B152-1)/12),0))*'Your paths'!$C$32</f>
        <v>1938</v>
      </c>
      <c r="K152" s="33">
        <f>('Your paths'!$C$9+'Your paths'!E49)*(1+'Your paths'!$C$24)^INT((B152-1)/12)</f>
        <v>7140</v>
      </c>
      <c r="L152" s="33">
        <f>('Your paths'!$C$10+'Your paths'!E48)*(1+'Your paths'!$C$21)^INT((B152-1)/12)</f>
        <v>2142</v>
      </c>
      <c r="M152" s="33">
        <f>IF('Your paths'!E39="",'Your paths'!$C$12,'Your paths'!E39)+IF(AND('Your paths'!E55="Yes",C152=1,B152&gt;='Your paths'!E57),'Your paths'!E56,0)</f>
        <v>1200</v>
      </c>
      <c r="N152" s="33">
        <f>N151+MAX(0,N151)*((1+'Your paths'!$C$29)^(1/12)-1)+Q152-P152+R152</f>
        <v>70690.7842554193</v>
      </c>
      <c r="O152" s="33">
        <f>(O151-R152)*(1+'Your paths'!$C$30)^(1/12)+M152</f>
        <v>99382.5056774801</v>
      </c>
      <c r="P152" s="33">
        <f>IF(AND(B152='Your paths'!E61,'Your paths'!E36&lt;&gt;"Rent"),'Your paths'!E42+'Your paths'!E65+IF('Your paths'!E36="Rent then buy",'Your paths'!E38,0),0)</f>
        <v>0</v>
      </c>
      <c r="Q152" s="33">
        <f>K152-SUM(J152,L152,M152)</f>
        <v>1860</v>
      </c>
      <c r="R152" s="33">
        <f>IF(P152&gt;0,MIN(MAX(0,P152-N151),MAX(0,O151)),0)</f>
        <v>0</v>
      </c>
      <c r="S152" s="2">
        <f>IF(P152&gt;0,MAX(0,P152-N151-O151),0)</f>
        <v>0</v>
      </c>
    </row>
    <row r="153" ht="27" customHeight="1">
      <c r="A153" s="3" t="n"/>
      <c r="B153" s="3" t="n">
        <v>14</v>
      </c>
      <c r="C153" s="3">
        <f>IF(B153&gt;='Your paths'!E61,1,0)</f>
        <v>0</v>
      </c>
      <c r="D153" s="33">
        <f>IF(C153=1,0,'Your paths'!E37*(1+'Your paths'!$C$20)^INT((B153-1)/12))</f>
        <v>1938</v>
      </c>
      <c r="E153" s="33">
        <f>IF(AND(B153='Your paths'!E61,'Your paths'!E36&lt;&gt;"Rent"),'Your paths'!E63,H152)</f>
        <v>0</v>
      </c>
      <c r="F153" s="33">
        <f>IF(C153=1,MIN('Your paths'!E64,E153*(1+'Your paths'!E62)),0)</f>
        <v>0</v>
      </c>
      <c r="G153" s="33">
        <f>E153*'Your paths'!E62</f>
        <v>0</v>
      </c>
      <c r="H153" s="33">
        <f>MAX(0,E153+G153-F153)</f>
        <v>0</v>
      </c>
      <c r="I153" s="33">
        <f>IF(C153=0,0,IF(AND(B153='Your paths'!E61,'Your paths'!E36&lt;&gt;"Rent"),'Your paths'!E41,I152)*(1+'Your paths'!$C$31)^(1/12))</f>
        <v>0</v>
      </c>
      <c r="J153" s="33">
        <f>(D153+F153+IF(C153=1,('Your paths'!E45/12+'Your paths'!E46+'Your paths'!E47)*(1+'Your paths'!$C$21)^INT((B153-1)/12),0))*'Your paths'!$C$32</f>
        <v>1938</v>
      </c>
      <c r="K153" s="33">
        <f>('Your paths'!$C$9+'Your paths'!E49)*(1+'Your paths'!$C$24)^INT((B153-1)/12)</f>
        <v>7140</v>
      </c>
      <c r="L153" s="33">
        <f>('Your paths'!$C$10+'Your paths'!E48)*(1+'Your paths'!$C$21)^INT((B153-1)/12)</f>
        <v>2142</v>
      </c>
      <c r="M153" s="33">
        <f>IF('Your paths'!E39="",'Your paths'!$C$12,'Your paths'!E39)+IF(AND('Your paths'!E55="Yes",C153=1,B153&gt;='Your paths'!E57),'Your paths'!E56,0)</f>
        <v>1200</v>
      </c>
      <c r="N153" s="33">
        <f>N152+MAX(0,N152)*((1+'Your paths'!$C$29)^(1/12)-1)+Q153-P153+R153</f>
        <v>72667.5358329137</v>
      </c>
      <c r="O153" s="33">
        <f>(O152-R153)*(1+'Your paths'!$C$30)^(1/12)+M153</f>
        <v>100907.858139971</v>
      </c>
      <c r="P153" s="33">
        <f>IF(AND(B153='Your paths'!E61,'Your paths'!E36&lt;&gt;"Rent"),'Your paths'!E42+'Your paths'!E65+IF('Your paths'!E36="Rent then buy",'Your paths'!E38,0),0)</f>
        <v>0</v>
      </c>
      <c r="Q153" s="33">
        <f>K153-SUM(J153,L153,M153)</f>
        <v>1860</v>
      </c>
      <c r="R153" s="33">
        <f>IF(P153&gt;0,MIN(MAX(0,P153-N152),MAX(0,O152)),0)</f>
        <v>0</v>
      </c>
      <c r="S153" s="2">
        <f>IF(P153&gt;0,MAX(0,P153-N152-O152),0)</f>
        <v>0</v>
      </c>
    </row>
    <row r="154" ht="27" customHeight="1">
      <c r="A154" s="3" t="n"/>
      <c r="B154" s="3" t="n">
        <v>15</v>
      </c>
      <c r="C154" s="3">
        <f>IF(B154&gt;='Your paths'!E61,1,0)</f>
        <v>0</v>
      </c>
      <c r="D154" s="33">
        <f>IF(C154=1,0,'Your paths'!E37*(1+'Your paths'!$C$20)^INT((B154-1)/12))</f>
        <v>1938</v>
      </c>
      <c r="E154" s="33">
        <f>IF(AND(B154='Your paths'!E61,'Your paths'!E36&lt;&gt;"Rent"),'Your paths'!E63,H153)</f>
        <v>0</v>
      </c>
      <c r="F154" s="33">
        <f>IF(C154=1,MIN('Your paths'!E64,E154*(1+'Your paths'!E62)),0)</f>
        <v>0</v>
      </c>
      <c r="G154" s="33">
        <f>E154*'Your paths'!E62</f>
        <v>0</v>
      </c>
      <c r="H154" s="33">
        <f>MAX(0,E154+G154-F154)</f>
        <v>0</v>
      </c>
      <c r="I154" s="33">
        <f>IF(C154=0,0,IF(AND(B154='Your paths'!E61,'Your paths'!E36&lt;&gt;"Rent"),'Your paths'!E41,I153)*(1+'Your paths'!$C$31)^(1/12))</f>
        <v>0</v>
      </c>
      <c r="J154" s="33">
        <f>(D154+F154+IF(C154=1,('Your paths'!E45/12+'Your paths'!E46+'Your paths'!E47)*(1+'Your paths'!$C$21)^INT((B154-1)/12),0))*'Your paths'!$C$32</f>
        <v>1938</v>
      </c>
      <c r="K154" s="33">
        <f>('Your paths'!$C$9+'Your paths'!E49)*(1+'Your paths'!$C$24)^INT((B154-1)/12)</f>
        <v>7140</v>
      </c>
      <c r="L154" s="33">
        <f>('Your paths'!$C$10+'Your paths'!E48)*(1+'Your paths'!$C$21)^INT((B154-1)/12)</f>
        <v>2142</v>
      </c>
      <c r="M154" s="33">
        <f>IF('Your paths'!E39="",'Your paths'!$C$12,'Your paths'!E39)+IF(AND('Your paths'!E55="Yes",C154=1,B154&gt;='Your paths'!E57),'Your paths'!E56,0)</f>
        <v>1200</v>
      </c>
      <c r="N154" s="33">
        <f>N153+MAX(0,N153)*((1+'Your paths'!$C$29)^(1/12)-1)+Q154-P154+R154</f>
        <v>74647.5521763519</v>
      </c>
      <c r="O154" s="33">
        <f>(O153-R154)*(1+'Your paths'!$C$30)^(1/12)+M154</f>
        <v>102438.2042095</v>
      </c>
      <c r="P154" s="33">
        <f>IF(AND(B154='Your paths'!E61,'Your paths'!E36&lt;&gt;"Rent"),'Your paths'!E42+'Your paths'!E65+IF('Your paths'!E36="Rent then buy",'Your paths'!E38,0),0)</f>
        <v>0</v>
      </c>
      <c r="Q154" s="33">
        <f>K154-SUM(J154,L154,M154)</f>
        <v>1860</v>
      </c>
      <c r="R154" s="33">
        <f>IF(P154&gt;0,MIN(MAX(0,P154-N153),MAX(0,O153)),0)</f>
        <v>0</v>
      </c>
      <c r="S154" s="2">
        <f>IF(P154&gt;0,MAX(0,P154-N153-O153),0)</f>
        <v>0</v>
      </c>
    </row>
    <row r="155" ht="27" customHeight="1">
      <c r="A155" s="3" t="n"/>
      <c r="B155" s="3" t="n">
        <v>16</v>
      </c>
      <c r="C155" s="3">
        <f>IF(B155&gt;='Your paths'!E61,1,0)</f>
        <v>0</v>
      </c>
      <c r="D155" s="33">
        <f>IF(C155=1,0,'Your paths'!E37*(1+'Your paths'!$C$20)^INT((B155-1)/12))</f>
        <v>1938</v>
      </c>
      <c r="E155" s="33">
        <f>IF(AND(B155='Your paths'!E61,'Your paths'!E36&lt;&gt;"Rent"),'Your paths'!E63,H154)</f>
        <v>0</v>
      </c>
      <c r="F155" s="33">
        <f>IF(C155=1,MIN('Your paths'!E64,E155*(1+'Your paths'!E62)),0)</f>
        <v>0</v>
      </c>
      <c r="G155" s="33">
        <f>E155*'Your paths'!E62</f>
        <v>0</v>
      </c>
      <c r="H155" s="33">
        <f>MAX(0,E155+G155-F155)</f>
        <v>0</v>
      </c>
      <c r="I155" s="33">
        <f>IF(C155=0,0,IF(AND(B155='Your paths'!E61,'Your paths'!E36&lt;&gt;"Rent"),'Your paths'!E41,I154)*(1+'Your paths'!$C$31)^(1/12))</f>
        <v>0</v>
      </c>
      <c r="J155" s="33">
        <f>(D155+F155+IF(C155=1,('Your paths'!E45/12+'Your paths'!E46+'Your paths'!E47)*(1+'Your paths'!$C$21)^INT((B155-1)/12),0))*'Your paths'!$C$32</f>
        <v>1938</v>
      </c>
      <c r="K155" s="33">
        <f>('Your paths'!$C$9+'Your paths'!E49)*(1+'Your paths'!$C$24)^INT((B155-1)/12)</f>
        <v>7140</v>
      </c>
      <c r="L155" s="33">
        <f>('Your paths'!$C$10+'Your paths'!E48)*(1+'Your paths'!$C$21)^INT((B155-1)/12)</f>
        <v>2142</v>
      </c>
      <c r="M155" s="33">
        <f>IF('Your paths'!E39="",'Your paths'!$C$12,'Your paths'!E39)+IF(AND('Your paths'!E55="Yes",C155=1,B155&gt;='Your paths'!E57),'Your paths'!E56,0)</f>
        <v>1200</v>
      </c>
      <c r="N155" s="33">
        <f>N154+MAX(0,N154)*((1+'Your paths'!$C$29)^(1/12)-1)+Q155-P155+R155</f>
        <v>76630.8386777605</v>
      </c>
      <c r="O155" s="33">
        <f>(O154-R155)*(1+'Your paths'!$C$30)^(1/12)+M155</f>
        <v>103973.560233838</v>
      </c>
      <c r="P155" s="33">
        <f>IF(AND(B155='Your paths'!E61,'Your paths'!E36&lt;&gt;"Rent"),'Your paths'!E42+'Your paths'!E65+IF('Your paths'!E36="Rent then buy",'Your paths'!E38,0),0)</f>
        <v>0</v>
      </c>
      <c r="Q155" s="33">
        <f>K155-SUM(J155,L155,M155)</f>
        <v>1860</v>
      </c>
      <c r="R155" s="33">
        <f>IF(P155&gt;0,MIN(MAX(0,P155-N154),MAX(0,O154)),0)</f>
        <v>0</v>
      </c>
      <c r="S155" s="2">
        <f>IF(P155&gt;0,MAX(0,P155-N154-O154),0)</f>
        <v>0</v>
      </c>
    </row>
    <row r="156" ht="27" customHeight="1">
      <c r="A156" s="3" t="n"/>
      <c r="B156" s="3" t="n">
        <v>17</v>
      </c>
      <c r="C156" s="3">
        <f>IF(B156&gt;='Your paths'!E61,1,0)</f>
        <v>0</v>
      </c>
      <c r="D156" s="33">
        <f>IF(C156=1,0,'Your paths'!E37*(1+'Your paths'!$C$20)^INT((B156-1)/12))</f>
        <v>1938</v>
      </c>
      <c r="E156" s="33">
        <f>IF(AND(B156='Your paths'!E61,'Your paths'!E36&lt;&gt;"Rent"),'Your paths'!E63,H155)</f>
        <v>0</v>
      </c>
      <c r="F156" s="33">
        <f>IF(C156=1,MIN('Your paths'!E64,E156*(1+'Your paths'!E62)),0)</f>
        <v>0</v>
      </c>
      <c r="G156" s="33">
        <f>E156*'Your paths'!E62</f>
        <v>0</v>
      </c>
      <c r="H156" s="33">
        <f>MAX(0,E156+G156-F156)</f>
        <v>0</v>
      </c>
      <c r="I156" s="33">
        <f>IF(C156=0,0,IF(AND(B156='Your paths'!E61,'Your paths'!E36&lt;&gt;"Rent"),'Your paths'!E41,I155)*(1+'Your paths'!$C$31)^(1/12))</f>
        <v>0</v>
      </c>
      <c r="J156" s="33">
        <f>(D156+F156+IF(C156=1,('Your paths'!E45/12+'Your paths'!E46+'Your paths'!E47)*(1+'Your paths'!$C$21)^INT((B156-1)/12),0))*'Your paths'!$C$32</f>
        <v>1938</v>
      </c>
      <c r="K156" s="33">
        <f>('Your paths'!$C$9+'Your paths'!E49)*(1+'Your paths'!$C$24)^INT((B156-1)/12)</f>
        <v>7140</v>
      </c>
      <c r="L156" s="33">
        <f>('Your paths'!$C$10+'Your paths'!E48)*(1+'Your paths'!$C$21)^INT((B156-1)/12)</f>
        <v>2142</v>
      </c>
      <c r="M156" s="33">
        <f>IF('Your paths'!E39="",'Your paths'!$C$12,'Your paths'!E39)+IF(AND('Your paths'!E55="Yes",C156=1,B156&gt;='Your paths'!E57),'Your paths'!E56,0)</f>
        <v>1200</v>
      </c>
      <c r="N156" s="33">
        <f>N155+MAX(0,N155)*((1+'Your paths'!$C$29)^(1/12)-1)+Q156-P156+R156</f>
        <v>78617.4007380712</v>
      </c>
      <c r="O156" s="33">
        <f>(O155-R156)*(1+'Your paths'!$C$30)^(1/12)+M156</f>
        <v>105513.942614272</v>
      </c>
      <c r="P156" s="33">
        <f>IF(AND(B156='Your paths'!E61,'Your paths'!E36&lt;&gt;"Rent"),'Your paths'!E42+'Your paths'!E65+IF('Your paths'!E36="Rent then buy",'Your paths'!E38,0),0)</f>
        <v>0</v>
      </c>
      <c r="Q156" s="33">
        <f>K156-SUM(J156,L156,M156)</f>
        <v>1860</v>
      </c>
      <c r="R156" s="33">
        <f>IF(P156&gt;0,MIN(MAX(0,P156-N155),MAX(0,O155)),0)</f>
        <v>0</v>
      </c>
      <c r="S156" s="2">
        <f>IF(P156&gt;0,MAX(0,P156-N155-O155),0)</f>
        <v>0</v>
      </c>
    </row>
    <row r="157" ht="27" customHeight="1">
      <c r="A157" s="3" t="n"/>
      <c r="B157" s="3" t="n">
        <v>18</v>
      </c>
      <c r="C157" s="3">
        <f>IF(B157&gt;='Your paths'!E61,1,0)</f>
        <v>0</v>
      </c>
      <c r="D157" s="33">
        <f>IF(C157=1,0,'Your paths'!E37*(1+'Your paths'!$C$20)^INT((B157-1)/12))</f>
        <v>1938</v>
      </c>
      <c r="E157" s="33">
        <f>IF(AND(B157='Your paths'!E61,'Your paths'!E36&lt;&gt;"Rent"),'Your paths'!E63,H156)</f>
        <v>0</v>
      </c>
      <c r="F157" s="33">
        <f>IF(C157=1,MIN('Your paths'!E64,E157*(1+'Your paths'!E62)),0)</f>
        <v>0</v>
      </c>
      <c r="G157" s="33">
        <f>E157*'Your paths'!E62</f>
        <v>0</v>
      </c>
      <c r="H157" s="33">
        <f>MAX(0,E157+G157-F157)</f>
        <v>0</v>
      </c>
      <c r="I157" s="33">
        <f>IF(C157=0,0,IF(AND(B157='Your paths'!E61,'Your paths'!E36&lt;&gt;"Rent"),'Your paths'!E41,I156)*(1+'Your paths'!$C$31)^(1/12))</f>
        <v>0</v>
      </c>
      <c r="J157" s="33">
        <f>(D157+F157+IF(C157=1,('Your paths'!E45/12+'Your paths'!E46+'Your paths'!E47)*(1+'Your paths'!$C$21)^INT((B157-1)/12),0))*'Your paths'!$C$32</f>
        <v>1938</v>
      </c>
      <c r="K157" s="33">
        <f>('Your paths'!$C$9+'Your paths'!E49)*(1+'Your paths'!$C$24)^INT((B157-1)/12)</f>
        <v>7140</v>
      </c>
      <c r="L157" s="33">
        <f>('Your paths'!$C$10+'Your paths'!E48)*(1+'Your paths'!$C$21)^INT((B157-1)/12)</f>
        <v>2142</v>
      </c>
      <c r="M157" s="33">
        <f>IF('Your paths'!E39="",'Your paths'!$C$12,'Your paths'!E39)+IF(AND('Your paths'!E55="Yes",C157=1,B157&gt;='Your paths'!E57),'Your paths'!E56,0)</f>
        <v>1200</v>
      </c>
      <c r="N157" s="33">
        <f>N156+MAX(0,N156)*((1+'Your paths'!$C$29)^(1/12)-1)+Q157-P157+R157</f>
        <v>80607.2437671357</v>
      </c>
      <c r="O157" s="33">
        <f>(O156-R157)*(1+'Your paths'!$C$30)^(1/12)+M157</f>
        <v>107059.367805785</v>
      </c>
      <c r="P157" s="33">
        <f>IF(AND(B157='Your paths'!E61,'Your paths'!E36&lt;&gt;"Rent"),'Your paths'!E42+'Your paths'!E65+IF('Your paths'!E36="Rent then buy",'Your paths'!E38,0),0)</f>
        <v>0</v>
      </c>
      <c r="Q157" s="33">
        <f>K157-SUM(J157,L157,M157)</f>
        <v>1860</v>
      </c>
      <c r="R157" s="33">
        <f>IF(P157&gt;0,MIN(MAX(0,P157-N156),MAX(0,O156)),0)</f>
        <v>0</v>
      </c>
      <c r="S157" s="2">
        <f>IF(P157&gt;0,MAX(0,P157-N156-O156),0)</f>
        <v>0</v>
      </c>
    </row>
    <row r="158" ht="27" customHeight="1">
      <c r="A158" s="3" t="n"/>
      <c r="B158" s="3" t="n">
        <v>19</v>
      </c>
      <c r="C158" s="3">
        <f>IF(B158&gt;='Your paths'!E61,1,0)</f>
        <v>0</v>
      </c>
      <c r="D158" s="33">
        <f>IF(C158=1,0,'Your paths'!E37*(1+'Your paths'!$C$20)^INT((B158-1)/12))</f>
        <v>1938</v>
      </c>
      <c r="E158" s="33">
        <f>IF(AND(B158='Your paths'!E61,'Your paths'!E36&lt;&gt;"Rent"),'Your paths'!E63,H157)</f>
        <v>0</v>
      </c>
      <c r="F158" s="33">
        <f>IF(C158=1,MIN('Your paths'!E64,E158*(1+'Your paths'!E62)),0)</f>
        <v>0</v>
      </c>
      <c r="G158" s="33">
        <f>E158*'Your paths'!E62</f>
        <v>0</v>
      </c>
      <c r="H158" s="33">
        <f>MAX(0,E158+G158-F158)</f>
        <v>0</v>
      </c>
      <c r="I158" s="33">
        <f>IF(C158=0,0,IF(AND(B158='Your paths'!E61,'Your paths'!E36&lt;&gt;"Rent"),'Your paths'!E41,I157)*(1+'Your paths'!$C$31)^(1/12))</f>
        <v>0</v>
      </c>
      <c r="J158" s="33">
        <f>(D158+F158+IF(C158=1,('Your paths'!E45/12+'Your paths'!E46+'Your paths'!E47)*(1+'Your paths'!$C$21)^INT((B158-1)/12),0))*'Your paths'!$C$32</f>
        <v>1938</v>
      </c>
      <c r="K158" s="33">
        <f>('Your paths'!$C$9+'Your paths'!E49)*(1+'Your paths'!$C$24)^INT((B158-1)/12)</f>
        <v>7140</v>
      </c>
      <c r="L158" s="33">
        <f>('Your paths'!$C$10+'Your paths'!E48)*(1+'Your paths'!$C$21)^INT((B158-1)/12)</f>
        <v>2142</v>
      </c>
      <c r="M158" s="33">
        <f>IF('Your paths'!E39="",'Your paths'!$C$12,'Your paths'!E39)+IF(AND('Your paths'!E55="Yes",C158=1,B158&gt;='Your paths'!E57),'Your paths'!E56,0)</f>
        <v>1200</v>
      </c>
      <c r="N158" s="33">
        <f>N157+MAX(0,N157)*((1+'Your paths'!$C$29)^(1/12)-1)+Q158-P158+R158</f>
        <v>82600.3731837409</v>
      </c>
      <c r="O158" s="33">
        <f>(O157-R158)*(1+'Your paths'!$C$30)^(1/12)+M158</f>
        <v>108609.852317228</v>
      </c>
      <c r="P158" s="33">
        <f>IF(AND(B158='Your paths'!E61,'Your paths'!E36&lt;&gt;"Rent"),'Your paths'!E42+'Your paths'!E65+IF('Your paths'!E36="Rent then buy",'Your paths'!E38,0),0)</f>
        <v>0</v>
      </c>
      <c r="Q158" s="33">
        <f>K158-SUM(J158,L158,M158)</f>
        <v>1860</v>
      </c>
      <c r="R158" s="33">
        <f>IF(P158&gt;0,MIN(MAX(0,P158-N157),MAX(0,O157)),0)</f>
        <v>0</v>
      </c>
      <c r="S158" s="2">
        <f>IF(P158&gt;0,MAX(0,P158-N157-O157),0)</f>
        <v>0</v>
      </c>
    </row>
    <row r="159" ht="27" customHeight="1">
      <c r="A159" s="3" t="n"/>
      <c r="B159" s="3" t="n">
        <v>20</v>
      </c>
      <c r="C159" s="3">
        <f>IF(B159&gt;='Your paths'!E61,1,0)</f>
        <v>0</v>
      </c>
      <c r="D159" s="33">
        <f>IF(C159=1,0,'Your paths'!E37*(1+'Your paths'!$C$20)^INT((B159-1)/12))</f>
        <v>1938</v>
      </c>
      <c r="E159" s="33">
        <f>IF(AND(B159='Your paths'!E61,'Your paths'!E36&lt;&gt;"Rent"),'Your paths'!E63,H158)</f>
        <v>0</v>
      </c>
      <c r="F159" s="33">
        <f>IF(C159=1,MIN('Your paths'!E64,E159*(1+'Your paths'!E62)),0)</f>
        <v>0</v>
      </c>
      <c r="G159" s="33">
        <f>E159*'Your paths'!E62</f>
        <v>0</v>
      </c>
      <c r="H159" s="33">
        <f>MAX(0,E159+G159-F159)</f>
        <v>0</v>
      </c>
      <c r="I159" s="33">
        <f>IF(C159=0,0,IF(AND(B159='Your paths'!E61,'Your paths'!E36&lt;&gt;"Rent"),'Your paths'!E41,I158)*(1+'Your paths'!$C$31)^(1/12))</f>
        <v>0</v>
      </c>
      <c r="J159" s="33">
        <f>(D159+F159+IF(C159=1,('Your paths'!E45/12+'Your paths'!E46+'Your paths'!E47)*(1+'Your paths'!$C$21)^INT((B159-1)/12),0))*'Your paths'!$C$32</f>
        <v>1938</v>
      </c>
      <c r="K159" s="33">
        <f>('Your paths'!$C$9+'Your paths'!E49)*(1+'Your paths'!$C$24)^INT((B159-1)/12)</f>
        <v>7140</v>
      </c>
      <c r="L159" s="33">
        <f>('Your paths'!$C$10+'Your paths'!E48)*(1+'Your paths'!$C$21)^INT((B159-1)/12)</f>
        <v>2142</v>
      </c>
      <c r="M159" s="33">
        <f>IF('Your paths'!E39="",'Your paths'!$C$12,'Your paths'!E39)+IF(AND('Your paths'!E55="Yes",C159=1,B159&gt;='Your paths'!E57),'Your paths'!E56,0)</f>
        <v>1200</v>
      </c>
      <c r="N159" s="33">
        <f>N158+MAX(0,N158)*((1+'Your paths'!$C$29)^(1/12)-1)+Q159-P159+R159</f>
        <v>84596.7944156227</v>
      </c>
      <c r="O159" s="33">
        <f>(O158-R159)*(1+'Your paths'!$C$30)^(1/12)+M159</f>
        <v>110165.412711498</v>
      </c>
      <c r="P159" s="33">
        <f>IF(AND(B159='Your paths'!E61,'Your paths'!E36&lt;&gt;"Rent"),'Your paths'!E42+'Your paths'!E65+IF('Your paths'!E36="Rent then buy",'Your paths'!E38,0),0)</f>
        <v>0</v>
      </c>
      <c r="Q159" s="33">
        <f>K159-SUM(J159,L159,M159)</f>
        <v>1860</v>
      </c>
      <c r="R159" s="33">
        <f>IF(P159&gt;0,MIN(MAX(0,P159-N158),MAX(0,O158)),0)</f>
        <v>0</v>
      </c>
      <c r="S159" s="2">
        <f>IF(P159&gt;0,MAX(0,P159-N158-O158),0)</f>
        <v>0</v>
      </c>
    </row>
    <row r="160" ht="27" customHeight="1">
      <c r="A160" s="3" t="n"/>
      <c r="B160" s="3" t="n">
        <v>21</v>
      </c>
      <c r="C160" s="3">
        <f>IF(B160&gt;='Your paths'!E61,1,0)</f>
        <v>0</v>
      </c>
      <c r="D160" s="33">
        <f>IF(C160=1,0,'Your paths'!E37*(1+'Your paths'!$C$20)^INT((B160-1)/12))</f>
        <v>1938</v>
      </c>
      <c r="E160" s="33">
        <f>IF(AND(B160='Your paths'!E61,'Your paths'!E36&lt;&gt;"Rent"),'Your paths'!E63,H159)</f>
        <v>0</v>
      </c>
      <c r="F160" s="33">
        <f>IF(C160=1,MIN('Your paths'!E64,E160*(1+'Your paths'!E62)),0)</f>
        <v>0</v>
      </c>
      <c r="G160" s="33">
        <f>E160*'Your paths'!E62</f>
        <v>0</v>
      </c>
      <c r="H160" s="33">
        <f>MAX(0,E160+G160-F160)</f>
        <v>0</v>
      </c>
      <c r="I160" s="33">
        <f>IF(C160=0,0,IF(AND(B160='Your paths'!E61,'Your paths'!E36&lt;&gt;"Rent"),'Your paths'!E41,I159)*(1+'Your paths'!$C$31)^(1/12))</f>
        <v>0</v>
      </c>
      <c r="J160" s="33">
        <f>(D160+F160+IF(C160=1,('Your paths'!E45/12+'Your paths'!E46+'Your paths'!E47)*(1+'Your paths'!$C$21)^INT((B160-1)/12),0))*'Your paths'!$C$32</f>
        <v>1938</v>
      </c>
      <c r="K160" s="33">
        <f>('Your paths'!$C$9+'Your paths'!E49)*(1+'Your paths'!$C$24)^INT((B160-1)/12)</f>
        <v>7140</v>
      </c>
      <c r="L160" s="33">
        <f>('Your paths'!$C$10+'Your paths'!E48)*(1+'Your paths'!$C$21)^INT((B160-1)/12)</f>
        <v>2142</v>
      </c>
      <c r="M160" s="33">
        <f>IF('Your paths'!E39="",'Your paths'!$C$12,'Your paths'!E39)+IF(AND('Your paths'!E55="Yes",C160=1,B160&gt;='Your paths'!E57),'Your paths'!E56,0)</f>
        <v>1200</v>
      </c>
      <c r="N160" s="33">
        <f>N159+MAX(0,N159)*((1+'Your paths'!$C$29)^(1/12)-1)+Q160-P160+R160</f>
        <v>86596.512899482</v>
      </c>
      <c r="O160" s="33">
        <f>(O159-R160)*(1+'Your paths'!$C$30)^(1/12)+M160</f>
        <v>111726.065605714</v>
      </c>
      <c r="P160" s="33">
        <f>IF(AND(B160='Your paths'!E61,'Your paths'!E36&lt;&gt;"Rent"),'Your paths'!E42+'Your paths'!E65+IF('Your paths'!E36="Rent then buy",'Your paths'!E38,0),0)</f>
        <v>0</v>
      </c>
      <c r="Q160" s="33">
        <f>K160-SUM(J160,L160,M160)</f>
        <v>1860</v>
      </c>
      <c r="R160" s="33">
        <f>IF(P160&gt;0,MIN(MAX(0,P160-N159),MAX(0,O159)),0)</f>
        <v>0</v>
      </c>
      <c r="S160" s="2">
        <f>IF(P160&gt;0,MAX(0,P160-N159-O159),0)</f>
        <v>0</v>
      </c>
    </row>
    <row r="161" ht="27" customHeight="1">
      <c r="A161" s="3" t="n"/>
      <c r="B161" s="3" t="n">
        <v>22</v>
      </c>
      <c r="C161" s="3">
        <f>IF(B161&gt;='Your paths'!E61,1,0)</f>
        <v>0</v>
      </c>
      <c r="D161" s="33">
        <f>IF(C161=1,0,'Your paths'!E37*(1+'Your paths'!$C$20)^INT((B161-1)/12))</f>
        <v>1938</v>
      </c>
      <c r="E161" s="33">
        <f>IF(AND(B161='Your paths'!E61,'Your paths'!E36&lt;&gt;"Rent"),'Your paths'!E63,H160)</f>
        <v>0</v>
      </c>
      <c r="F161" s="33">
        <f>IF(C161=1,MIN('Your paths'!E64,E161*(1+'Your paths'!E62)),0)</f>
        <v>0</v>
      </c>
      <c r="G161" s="33">
        <f>E161*'Your paths'!E62</f>
        <v>0</v>
      </c>
      <c r="H161" s="33">
        <f>MAX(0,E161+G161-F161)</f>
        <v>0</v>
      </c>
      <c r="I161" s="33">
        <f>IF(C161=0,0,IF(AND(B161='Your paths'!E61,'Your paths'!E36&lt;&gt;"Rent"),'Your paths'!E41,I160)*(1+'Your paths'!$C$31)^(1/12))</f>
        <v>0</v>
      </c>
      <c r="J161" s="33">
        <f>(D161+F161+IF(C161=1,('Your paths'!E45/12+'Your paths'!E46+'Your paths'!E47)*(1+'Your paths'!$C$21)^INT((B161-1)/12),0))*'Your paths'!$C$32</f>
        <v>1938</v>
      </c>
      <c r="K161" s="33">
        <f>('Your paths'!$C$9+'Your paths'!E49)*(1+'Your paths'!$C$24)^INT((B161-1)/12)</f>
        <v>7140</v>
      </c>
      <c r="L161" s="33">
        <f>('Your paths'!$C$10+'Your paths'!E48)*(1+'Your paths'!$C$21)^INT((B161-1)/12)</f>
        <v>2142</v>
      </c>
      <c r="M161" s="33">
        <f>IF('Your paths'!E39="",'Your paths'!$C$12,'Your paths'!E39)+IF(AND('Your paths'!E55="Yes",C161=1,B161&gt;='Your paths'!E57),'Your paths'!E56,0)</f>
        <v>1200</v>
      </c>
      <c r="N161" s="33">
        <f>N160+MAX(0,N160)*((1+'Your paths'!$C$29)^(1/12)-1)+Q161-P161+R161</f>
        <v>88599.5340809983</v>
      </c>
      <c r="O161" s="33">
        <f>(O160-R161)*(1+'Your paths'!$C$30)^(1/12)+M161</f>
        <v>113291.827671396</v>
      </c>
      <c r="P161" s="33">
        <f>IF(AND(B161='Your paths'!E61,'Your paths'!E36&lt;&gt;"Rent"),'Your paths'!E42+'Your paths'!E65+IF('Your paths'!E36="Rent then buy",'Your paths'!E38,0),0)</f>
        <v>0</v>
      </c>
      <c r="Q161" s="33">
        <f>K161-SUM(J161,L161,M161)</f>
        <v>1860</v>
      </c>
      <c r="R161" s="33">
        <f>IF(P161&gt;0,MIN(MAX(0,P161-N160),MAX(0,O160)),0)</f>
        <v>0</v>
      </c>
      <c r="S161" s="2">
        <f>IF(P161&gt;0,MAX(0,P161-N160-O160),0)</f>
        <v>0</v>
      </c>
    </row>
    <row r="162" ht="27" customHeight="1">
      <c r="A162" s="3" t="n"/>
      <c r="B162" s="3" t="n">
        <v>23</v>
      </c>
      <c r="C162" s="3">
        <f>IF(B162&gt;='Your paths'!E61,1,0)</f>
        <v>0</v>
      </c>
      <c r="D162" s="33">
        <f>IF(C162=1,0,'Your paths'!E37*(1+'Your paths'!$C$20)^INT((B162-1)/12))</f>
        <v>1938</v>
      </c>
      <c r="E162" s="33">
        <f>IF(AND(B162='Your paths'!E61,'Your paths'!E36&lt;&gt;"Rent"),'Your paths'!E63,H161)</f>
        <v>0</v>
      </c>
      <c r="F162" s="33">
        <f>IF(C162=1,MIN('Your paths'!E64,E162*(1+'Your paths'!E62)),0)</f>
        <v>0</v>
      </c>
      <c r="G162" s="33">
        <f>E162*'Your paths'!E62</f>
        <v>0</v>
      </c>
      <c r="H162" s="33">
        <f>MAX(0,E162+G162-F162)</f>
        <v>0</v>
      </c>
      <c r="I162" s="33">
        <f>IF(C162=0,0,IF(AND(B162='Your paths'!E61,'Your paths'!E36&lt;&gt;"Rent"),'Your paths'!E41,I161)*(1+'Your paths'!$C$31)^(1/12))</f>
        <v>0</v>
      </c>
      <c r="J162" s="33">
        <f>(D162+F162+IF(C162=1,('Your paths'!E45/12+'Your paths'!E46+'Your paths'!E47)*(1+'Your paths'!$C$21)^INT((B162-1)/12),0))*'Your paths'!$C$32</f>
        <v>1938</v>
      </c>
      <c r="K162" s="33">
        <f>('Your paths'!$C$9+'Your paths'!E49)*(1+'Your paths'!$C$24)^INT((B162-1)/12)</f>
        <v>7140</v>
      </c>
      <c r="L162" s="33">
        <f>('Your paths'!$C$10+'Your paths'!E48)*(1+'Your paths'!$C$21)^INT((B162-1)/12)</f>
        <v>2142</v>
      </c>
      <c r="M162" s="33">
        <f>IF('Your paths'!E39="",'Your paths'!$C$12,'Your paths'!E39)+IF(AND('Your paths'!E55="Yes",C162=1,B162&gt;='Your paths'!E57),'Your paths'!E56,0)</f>
        <v>1200</v>
      </c>
      <c r="N162" s="33">
        <f>N161+MAX(0,N161)*((1+'Your paths'!$C$29)^(1/12)-1)+Q162-P162+R162</f>
        <v>90605.8634148453</v>
      </c>
      <c r="O162" s="33">
        <f>(O161-R162)*(1+'Your paths'!$C$30)^(1/12)+M162</f>
        <v>114862.715634642</v>
      </c>
      <c r="P162" s="33">
        <f>IF(AND(B162='Your paths'!E61,'Your paths'!E36&lt;&gt;"Rent"),'Your paths'!E42+'Your paths'!E65+IF('Your paths'!E36="Rent then buy",'Your paths'!E38,0),0)</f>
        <v>0</v>
      </c>
      <c r="Q162" s="33">
        <f>K162-SUM(J162,L162,M162)</f>
        <v>1860</v>
      </c>
      <c r="R162" s="33">
        <f>IF(P162&gt;0,MIN(MAX(0,P162-N161),MAX(0,O161)),0)</f>
        <v>0</v>
      </c>
      <c r="S162" s="2">
        <f>IF(P162&gt;0,MAX(0,P162-N161-O161),0)</f>
        <v>0</v>
      </c>
    </row>
    <row r="163" ht="27" customHeight="1">
      <c r="A163" s="3" t="n"/>
      <c r="B163" s="3" t="n">
        <v>24</v>
      </c>
      <c r="C163" s="3">
        <f>IF(B163&gt;='Your paths'!E61,1,0)</f>
        <v>0</v>
      </c>
      <c r="D163" s="33">
        <f>IF(C163=1,0,'Your paths'!E37*(1+'Your paths'!$C$20)^INT((B163-1)/12))</f>
        <v>1938</v>
      </c>
      <c r="E163" s="33">
        <f>IF(AND(B163='Your paths'!E61,'Your paths'!E36&lt;&gt;"Rent"),'Your paths'!E63,H162)</f>
        <v>0</v>
      </c>
      <c r="F163" s="33">
        <f>IF(C163=1,MIN('Your paths'!E64,E163*(1+'Your paths'!E62)),0)</f>
        <v>0</v>
      </c>
      <c r="G163" s="33">
        <f>E163*'Your paths'!E62</f>
        <v>0</v>
      </c>
      <c r="H163" s="33">
        <f>MAX(0,E163+G163-F163)</f>
        <v>0</v>
      </c>
      <c r="I163" s="33">
        <f>IF(C163=0,0,IF(AND(B163='Your paths'!E61,'Your paths'!E36&lt;&gt;"Rent"),'Your paths'!E41,I162)*(1+'Your paths'!$C$31)^(1/12))</f>
        <v>0</v>
      </c>
      <c r="J163" s="33">
        <f>(D163+F163+IF(C163=1,('Your paths'!E45/12+'Your paths'!E46+'Your paths'!E47)*(1+'Your paths'!$C$21)^INT((B163-1)/12),0))*'Your paths'!$C$32</f>
        <v>1938</v>
      </c>
      <c r="K163" s="33">
        <f>('Your paths'!$C$9+'Your paths'!E49)*(1+'Your paths'!$C$24)^INT((B163-1)/12)</f>
        <v>7140</v>
      </c>
      <c r="L163" s="33">
        <f>('Your paths'!$C$10+'Your paths'!E48)*(1+'Your paths'!$C$21)^INT((B163-1)/12)</f>
        <v>2142</v>
      </c>
      <c r="M163" s="33">
        <f>IF('Your paths'!E39="",'Your paths'!$C$12,'Your paths'!E39)+IF(AND('Your paths'!E55="Yes",C163=1,B163&gt;='Your paths'!E57),'Your paths'!E56,0)</f>
        <v>1200</v>
      </c>
      <c r="N163" s="33">
        <f>N162+MAX(0,N162)*((1+'Your paths'!$C$29)^(1/12)-1)+Q163-P163+R163</f>
        <v>92615.5063647056</v>
      </c>
      <c r="O163" s="33">
        <f>(O162-R163)*(1+'Your paths'!$C$30)^(1/12)+M163</f>
        <v>116438.746276306</v>
      </c>
      <c r="P163" s="33">
        <f>IF(AND(B163='Your paths'!E61,'Your paths'!E36&lt;&gt;"Rent"),'Your paths'!E42+'Your paths'!E65+IF('Your paths'!E36="Rent then buy",'Your paths'!E38,0),0)</f>
        <v>0</v>
      </c>
      <c r="Q163" s="33">
        <f>K163-SUM(J163,L163,M163)</f>
        <v>1860</v>
      </c>
      <c r="R163" s="33">
        <f>IF(P163&gt;0,MIN(MAX(0,P163-N162),MAX(0,O162)),0)</f>
        <v>0</v>
      </c>
      <c r="S163" s="2">
        <f>IF(P163&gt;0,MAX(0,P163-N162-O162),0)</f>
        <v>0</v>
      </c>
    </row>
    <row r="164" ht="27" customHeight="1">
      <c r="A164" s="3" t="n"/>
      <c r="B164" s="3" t="n">
        <v>25</v>
      </c>
      <c r="C164" s="3">
        <f>IF(B164&gt;='Your paths'!E61,1,0)</f>
        <v>1</v>
      </c>
      <c r="D164" s="33">
        <f>IF(C164=1,0,'Your paths'!E37*(1+'Your paths'!$C$20)^INT((B164-1)/12))</f>
        <v>0</v>
      </c>
      <c r="E164" s="33">
        <f>IF(AND(B164='Your paths'!E61,'Your paths'!E36&lt;&gt;"Rent"),'Your paths'!E63,H163)</f>
        <v>336000</v>
      </c>
      <c r="F164" s="33">
        <f>IF(C164=1,MIN('Your paths'!E64,E164*(1+'Your paths'!E62)),0)</f>
        <v>1859.66912639924</v>
      </c>
      <c r="G164" s="33">
        <f>E164*'Your paths'!E62</f>
        <v>1248.34737713522</v>
      </c>
      <c r="H164" s="33">
        <f>MAX(0,E164+G164-F164)</f>
        <v>335388.678250736</v>
      </c>
      <c r="I164" s="33">
        <f>IF(C164=0,0,IF(AND(B164='Your paths'!E61,'Your paths'!E36&lt;&gt;"Rent"),'Your paths'!E41,I163)*(1+'Your paths'!$C$31)^(1/12))</f>
        <v>420693.664146807</v>
      </c>
      <c r="J164" s="33">
        <f>(D164+F164+IF(C164=1,('Your paths'!E45/12+'Your paths'!E46+'Your paths'!E47)*(1+'Your paths'!$C$21)^INT((B164-1)/12),0))*'Your paths'!$C$32</f>
        <v>2535.92912639924</v>
      </c>
      <c r="K164" s="33">
        <f>('Your paths'!$C$9+'Your paths'!E49)*(1+'Your paths'!$C$24)^INT((B164-1)/12)</f>
        <v>7282.8</v>
      </c>
      <c r="L164" s="33">
        <f>('Your paths'!$C$10+'Your paths'!E48)*(1+'Your paths'!$C$21)^INT((B164-1)/12)</f>
        <v>2184.84</v>
      </c>
      <c r="M164" s="33">
        <f>IF('Your paths'!E39="",'Your paths'!$C$12,'Your paths'!E39)+IF(AND('Your paths'!E55="Yes",C164=1,B164&gt;='Your paths'!E57),'Your paths'!E56,0)</f>
        <v>1200</v>
      </c>
      <c r="N164" s="33">
        <f>N163+MAX(0,N163)*((1+'Your paths'!$C$29)^(1/12)-1)+Q164-P164+R164</f>
        <v>1514.99291218058</v>
      </c>
      <c r="O164" s="33">
        <f>(O163-R164)*(1+'Your paths'!$C$30)^(1/12)+M164</f>
        <v>117573.987640389</v>
      </c>
      <c r="P164" s="33">
        <f>IF(AND(B164='Your paths'!E61,'Your paths'!E36&lt;&gt;"Rent"),'Your paths'!E42+'Your paths'!E65+IF('Your paths'!E36="Rent then buy",'Your paths'!E38,0),0)</f>
        <v>93060</v>
      </c>
      <c r="Q164" s="33">
        <f>K164-SUM(J164,L164,M164)</f>
        <v>1362.03087360076</v>
      </c>
      <c r="R164" s="33">
        <f>IF(P164&gt;0,MIN(MAX(0,P164-N163),MAX(0,O163)),0)</f>
        <v>444.493635294421</v>
      </c>
      <c r="S164" s="2">
        <f>IF(P164&gt;0,MAX(0,P164-N163-O163),0)</f>
        <v>0</v>
      </c>
    </row>
    <row r="165" ht="27" customHeight="1">
      <c r="A165" s="3" t="n"/>
      <c r="B165" s="3" t="n">
        <v>26</v>
      </c>
      <c r="C165" s="3">
        <f>IF(B165&gt;='Your paths'!E61,1,0)</f>
        <v>1</v>
      </c>
      <c r="D165" s="33">
        <f>IF(C165=1,0,'Your paths'!E37*(1+'Your paths'!$C$20)^INT((B165-1)/12))</f>
        <v>0</v>
      </c>
      <c r="E165" s="33">
        <f>IF(AND(B165='Your paths'!E61,'Your paths'!E36&lt;&gt;"Rent"),'Your paths'!E63,H164)</f>
        <v>335388.678250736</v>
      </c>
      <c r="F165" s="33">
        <f>IF(C165=1,MIN('Your paths'!E64,E165*(1+'Your paths'!E62)),0)</f>
        <v>1859.66912639924</v>
      </c>
      <c r="G165" s="33">
        <f>E165*'Your paths'!E62</f>
        <v>1246.07612147367</v>
      </c>
      <c r="H165" s="33">
        <f>MAX(0,E165+G165-F165)</f>
        <v>334775.08524581</v>
      </c>
      <c r="I165" s="33">
        <f>IF(C165=0,0,IF(AND(B165='Your paths'!E61,'Your paths'!E36&lt;&gt;"Rent"),'Your paths'!E41,I164)*(1+'Your paths'!$C$31)^(1/12))</f>
        <v>421388.473936348</v>
      </c>
      <c r="J165" s="33">
        <f>(D165+F165+IF(C165=1,('Your paths'!E45/12+'Your paths'!E46+'Your paths'!E47)*(1+'Your paths'!$C$21)^INT((B165-1)/12),0))*'Your paths'!$C$32</f>
        <v>2535.92912639924</v>
      </c>
      <c r="K165" s="33">
        <f>('Your paths'!$C$9+'Your paths'!E49)*(1+'Your paths'!$C$24)^INT((B165-1)/12)</f>
        <v>7282.8</v>
      </c>
      <c r="L165" s="33">
        <f>('Your paths'!$C$10+'Your paths'!E48)*(1+'Your paths'!$C$21)^INT((B165-1)/12)</f>
        <v>2184.84</v>
      </c>
      <c r="M165" s="33">
        <f>IF('Your paths'!E39="",'Your paths'!$C$12,'Your paths'!E39)+IF(AND('Your paths'!E55="Yes",C165=1,B165&gt;='Your paths'!E57),'Your paths'!E56,0)</f>
        <v>1200</v>
      </c>
      <c r="N165" s="33">
        <f>N164+MAX(0,N164)*((1+'Your paths'!$C$29)^(1/12)-1)+Q165-P165+R165</f>
        <v>2879.52591974763</v>
      </c>
      <c r="O165" s="33">
        <f>(O164-R165)*(1+'Your paths'!$C$30)^(1/12)+M165</f>
        <v>119158.894281079</v>
      </c>
      <c r="P165" s="33">
        <f>IF(AND(B165='Your paths'!E61,'Your paths'!E36&lt;&gt;"Rent"),'Your paths'!E42+'Your paths'!E65+IF('Your paths'!E36="Rent then buy",'Your paths'!E38,0),0)</f>
        <v>0</v>
      </c>
      <c r="Q165" s="33">
        <f>K165-SUM(J165,L165,M165)</f>
        <v>1362.03087360076</v>
      </c>
      <c r="R165" s="33">
        <f>IF(P165&gt;0,MIN(MAX(0,P165-N164),MAX(0,O164)),0)</f>
        <v>0</v>
      </c>
      <c r="S165" s="2">
        <f>IF(P165&gt;0,MAX(0,P165-N164-O164),0)</f>
        <v>0</v>
      </c>
    </row>
    <row r="166" ht="27" customHeight="1">
      <c r="A166" s="3" t="n"/>
      <c r="B166" s="3" t="n">
        <v>27</v>
      </c>
      <c r="C166" s="3">
        <f>IF(B166&gt;='Your paths'!E61,1,0)</f>
        <v>1</v>
      </c>
      <c r="D166" s="33">
        <f>IF(C166=1,0,'Your paths'!E37*(1+'Your paths'!$C$20)^INT((B166-1)/12))</f>
        <v>0</v>
      </c>
      <c r="E166" s="33">
        <f>IF(AND(B166='Your paths'!E61,'Your paths'!E36&lt;&gt;"Rent"),'Your paths'!E63,H165)</f>
        <v>334775.08524581</v>
      </c>
      <c r="F166" s="33">
        <f>IF(C166=1,MIN('Your paths'!E64,E166*(1+'Your paths'!E62)),0)</f>
        <v>1859.66912639924</v>
      </c>
      <c r="G166" s="33">
        <f>E166*'Your paths'!E62</f>
        <v>1243.79642737151</v>
      </c>
      <c r="H166" s="33">
        <f>MAX(0,E166+G166-F166)</f>
        <v>334159.212546783</v>
      </c>
      <c r="I166" s="33">
        <f>IF(C166=0,0,IF(AND(B166='Your paths'!E61,'Your paths'!E36&lt;&gt;"Rent"),'Your paths'!E41,I165)*(1+'Your paths'!$C$31)^(1/12))</f>
        <v>422084.431260746</v>
      </c>
      <c r="J166" s="33">
        <f>(D166+F166+IF(C166=1,('Your paths'!E45/12+'Your paths'!E46+'Your paths'!E47)*(1+'Your paths'!$C$21)^INT((B166-1)/12),0))*'Your paths'!$C$32</f>
        <v>2535.92912639924</v>
      </c>
      <c r="K166" s="33">
        <f>('Your paths'!$C$9+'Your paths'!E49)*(1+'Your paths'!$C$24)^INT((B166-1)/12)</f>
        <v>7282.8</v>
      </c>
      <c r="L166" s="33">
        <f>('Your paths'!$C$10+'Your paths'!E48)*(1+'Your paths'!$C$21)^INT((B166-1)/12)</f>
        <v>2184.84</v>
      </c>
      <c r="M166" s="33">
        <f>IF('Your paths'!E39="",'Your paths'!$C$12,'Your paths'!E39)+IF(AND('Your paths'!E55="Yes",C166=1,B166&gt;='Your paths'!E57),'Your paths'!E56,0)</f>
        <v>1200</v>
      </c>
      <c r="N166" s="33">
        <f>N165+MAX(0,N165)*((1+'Your paths'!$C$29)^(1/12)-1)+Q166-P166+R166</f>
        <v>4246.31256451584</v>
      </c>
      <c r="O166" s="33">
        <f>(O165-R166)*(1+'Your paths'!$C$30)^(1/12)+M166</f>
        <v>120748.98949369</v>
      </c>
      <c r="P166" s="33">
        <f>IF(AND(B166='Your paths'!E61,'Your paths'!E36&lt;&gt;"Rent"),'Your paths'!E42+'Your paths'!E65+IF('Your paths'!E36="Rent then buy",'Your paths'!E38,0),0)</f>
        <v>0</v>
      </c>
      <c r="Q166" s="33">
        <f>K166-SUM(J166,L166,M166)</f>
        <v>1362.03087360076</v>
      </c>
      <c r="R166" s="33">
        <f>IF(P166&gt;0,MIN(MAX(0,P166-N165),MAX(0,O165)),0)</f>
        <v>0</v>
      </c>
      <c r="S166" s="2">
        <f>IF(P166&gt;0,MAX(0,P166-N165-O165),0)</f>
        <v>0</v>
      </c>
    </row>
    <row r="167" ht="27" customHeight="1">
      <c r="A167" s="3" t="n"/>
      <c r="B167" s="3" t="n">
        <v>28</v>
      </c>
      <c r="C167" s="3">
        <f>IF(B167&gt;='Your paths'!E61,1,0)</f>
        <v>1</v>
      </c>
      <c r="D167" s="33">
        <f>IF(C167=1,0,'Your paths'!E37*(1+'Your paths'!$C$20)^INT((B167-1)/12))</f>
        <v>0</v>
      </c>
      <c r="E167" s="33">
        <f>IF(AND(B167='Your paths'!E61,'Your paths'!E36&lt;&gt;"Rent"),'Your paths'!E63,H166)</f>
        <v>334159.212546783</v>
      </c>
      <c r="F167" s="33">
        <f>IF(C167=1,MIN('Your paths'!E64,E167*(1+'Your paths'!E62)),0)</f>
        <v>1859.66912639924</v>
      </c>
      <c r="G167" s="33">
        <f>E167*'Your paths'!E62</f>
        <v>1241.50826347722</v>
      </c>
      <c r="H167" s="33">
        <f>MAX(0,E167+G167-F167)</f>
        <v>333541.051683861</v>
      </c>
      <c r="I167" s="33">
        <f>IF(C167=0,0,IF(AND(B167='Your paths'!E61,'Your paths'!E36&lt;&gt;"Rent"),'Your paths'!E41,I166)*(1+'Your paths'!$C$31)^(1/12))</f>
        <v>422781.538015248</v>
      </c>
      <c r="J167" s="33">
        <f>(D167+F167+IF(C167=1,('Your paths'!E45/12+'Your paths'!E46+'Your paths'!E47)*(1+'Your paths'!$C$21)^INT((B167-1)/12),0))*'Your paths'!$C$32</f>
        <v>2535.92912639924</v>
      </c>
      <c r="K167" s="33">
        <f>('Your paths'!$C$9+'Your paths'!E49)*(1+'Your paths'!$C$24)^INT((B167-1)/12)</f>
        <v>7282.8</v>
      </c>
      <c r="L167" s="33">
        <f>('Your paths'!$C$10+'Your paths'!E48)*(1+'Your paths'!$C$21)^INT((B167-1)/12)</f>
        <v>2184.84</v>
      </c>
      <c r="M167" s="33">
        <f>IF('Your paths'!E39="",'Your paths'!$C$12,'Your paths'!E39)+IF(AND('Your paths'!E55="Yes",C167=1,B167&gt;='Your paths'!E57),'Your paths'!E56,0)</f>
        <v>1200</v>
      </c>
      <c r="N167" s="33">
        <f>N166+MAX(0,N166)*((1+'Your paths'!$C$29)^(1/12)-1)+Q167-P167+R167</f>
        <v>5615.35656855026</v>
      </c>
      <c r="O167" s="33">
        <f>(O166-R167)*(1+'Your paths'!$C$30)^(1/12)+M167</f>
        <v>122344.290264256</v>
      </c>
      <c r="P167" s="33">
        <f>IF(AND(B167='Your paths'!E61,'Your paths'!E36&lt;&gt;"Rent"),'Your paths'!E42+'Your paths'!E65+IF('Your paths'!E36="Rent then buy",'Your paths'!E38,0),0)</f>
        <v>0</v>
      </c>
      <c r="Q167" s="33">
        <f>K167-SUM(J167,L167,M167)</f>
        <v>1362.03087360076</v>
      </c>
      <c r="R167" s="33">
        <f>IF(P167&gt;0,MIN(MAX(0,P167-N166),MAX(0,O166)),0)</f>
        <v>0</v>
      </c>
      <c r="S167" s="2">
        <f>IF(P167&gt;0,MAX(0,P167-N166-O166),0)</f>
        <v>0</v>
      </c>
    </row>
    <row r="168" ht="27" customHeight="1">
      <c r="A168" s="3" t="n"/>
      <c r="B168" s="3" t="n">
        <v>29</v>
      </c>
      <c r="C168" s="3">
        <f>IF(B168&gt;='Your paths'!E61,1,0)</f>
        <v>1</v>
      </c>
      <c r="D168" s="33">
        <f>IF(C168=1,0,'Your paths'!E37*(1+'Your paths'!$C$20)^INT((B168-1)/12))</f>
        <v>0</v>
      </c>
      <c r="E168" s="33">
        <f>IF(AND(B168='Your paths'!E61,'Your paths'!E36&lt;&gt;"Rent"),'Your paths'!E63,H167)</f>
        <v>333541.051683861</v>
      </c>
      <c r="F168" s="33">
        <f>IF(C168=1,MIN('Your paths'!E64,E168*(1+'Your paths'!E62)),0)</f>
        <v>1859.66912639924</v>
      </c>
      <c r="G168" s="33">
        <f>E168*'Your paths'!E62</f>
        <v>1239.21159832283</v>
      </c>
      <c r="H168" s="33">
        <f>MAX(0,E168+G168-F168)</f>
        <v>332920.594155784</v>
      </c>
      <c r="I168" s="33">
        <f>IF(C168=0,0,IF(AND(B168='Your paths'!E61,'Your paths'!E36&lt;&gt;"Rent"),'Your paths'!E41,I167)*(1+'Your paths'!$C$31)^(1/12))</f>
        <v>423479.796098231</v>
      </c>
      <c r="J168" s="33">
        <f>(D168+F168+IF(C168=1,('Your paths'!E45/12+'Your paths'!E46+'Your paths'!E47)*(1+'Your paths'!$C$21)^INT((B168-1)/12),0))*'Your paths'!$C$32</f>
        <v>2535.92912639924</v>
      </c>
      <c r="K168" s="33">
        <f>('Your paths'!$C$9+'Your paths'!E49)*(1+'Your paths'!$C$24)^INT((B168-1)/12)</f>
        <v>7282.8</v>
      </c>
      <c r="L168" s="33">
        <f>('Your paths'!$C$10+'Your paths'!E48)*(1+'Your paths'!$C$21)^INT((B168-1)/12)</f>
        <v>2184.84</v>
      </c>
      <c r="M168" s="33">
        <f>IF('Your paths'!E39="",'Your paths'!$C$12,'Your paths'!E39)+IF(AND('Your paths'!E55="Yes",C168=1,B168&gt;='Your paths'!E57),'Your paths'!E56,0)</f>
        <v>1200</v>
      </c>
      <c r="N168" s="33">
        <f>N167+MAX(0,N167)*((1+'Your paths'!$C$29)^(1/12)-1)+Q168-P168+R168</f>
        <v>6986.66166006325</v>
      </c>
      <c r="O168" s="33">
        <f>(O167-R168)*(1+'Your paths'!$C$30)^(1/12)+M168</f>
        <v>123944.813634419</v>
      </c>
      <c r="P168" s="33">
        <f>IF(AND(B168='Your paths'!E61,'Your paths'!E36&lt;&gt;"Rent"),'Your paths'!E42+'Your paths'!E65+IF('Your paths'!E36="Rent then buy",'Your paths'!E38,0),0)</f>
        <v>0</v>
      </c>
      <c r="Q168" s="33">
        <f>K168-SUM(J168,L168,M168)</f>
        <v>1362.03087360076</v>
      </c>
      <c r="R168" s="33">
        <f>IF(P168&gt;0,MIN(MAX(0,P168-N167),MAX(0,O167)),0)</f>
        <v>0</v>
      </c>
      <c r="S168" s="2">
        <f>IF(P168&gt;0,MAX(0,P168-N167-O167),0)</f>
        <v>0</v>
      </c>
    </row>
    <row r="169" ht="27" customHeight="1">
      <c r="A169" s="3" t="n"/>
      <c r="B169" s="3" t="n">
        <v>30</v>
      </c>
      <c r="C169" s="3">
        <f>IF(B169&gt;='Your paths'!E61,1,0)</f>
        <v>1</v>
      </c>
      <c r="D169" s="33">
        <f>IF(C169=1,0,'Your paths'!E37*(1+'Your paths'!$C$20)^INT((B169-1)/12))</f>
        <v>0</v>
      </c>
      <c r="E169" s="33">
        <f>IF(AND(B169='Your paths'!E61,'Your paths'!E36&lt;&gt;"Rent"),'Your paths'!E63,H168)</f>
        <v>332920.594155784</v>
      </c>
      <c r="F169" s="33">
        <f>IF(C169=1,MIN('Your paths'!E64,E169*(1+'Your paths'!E62)),0)</f>
        <v>1859.66912639924</v>
      </c>
      <c r="G169" s="33">
        <f>E169*'Your paths'!E62</f>
        <v>1236.90640032343</v>
      </c>
      <c r="H169" s="33">
        <f>MAX(0,E169+G169-F169)</f>
        <v>332297.831429708</v>
      </c>
      <c r="I169" s="33">
        <f>IF(C169=0,0,IF(AND(B169='Your paths'!E61,'Your paths'!E36&lt;&gt;"Rent"),'Your paths'!E41,I168)*(1+'Your paths'!$C$31)^(1/12))</f>
        <v>424179.207411208</v>
      </c>
      <c r="J169" s="33">
        <f>(D169+F169+IF(C169=1,('Your paths'!E45/12+'Your paths'!E46+'Your paths'!E47)*(1+'Your paths'!$C$21)^INT((B169-1)/12),0))*'Your paths'!$C$32</f>
        <v>2535.92912639924</v>
      </c>
      <c r="K169" s="33">
        <f>('Your paths'!$C$9+'Your paths'!E49)*(1+'Your paths'!$C$24)^INT((B169-1)/12)</f>
        <v>7282.8</v>
      </c>
      <c r="L169" s="33">
        <f>('Your paths'!$C$10+'Your paths'!E48)*(1+'Your paths'!$C$21)^INT((B169-1)/12)</f>
        <v>2184.84</v>
      </c>
      <c r="M169" s="33">
        <f>IF('Your paths'!E39="",'Your paths'!$C$12,'Your paths'!E39)+IF(AND('Your paths'!E55="Yes",C169=1,B169&gt;='Your paths'!E57),'Your paths'!E56,0)</f>
        <v>1200</v>
      </c>
      <c r="N169" s="33">
        <f>N168+MAX(0,N168)*((1+'Your paths'!$C$29)^(1/12)-1)+Q169-P169+R169</f>
        <v>8360.23157342462</v>
      </c>
      <c r="O169" s="33">
        <f>(O168-R169)*(1+'Your paths'!$C$30)^(1/12)+M169</f>
        <v>125550.576701611</v>
      </c>
      <c r="P169" s="33">
        <f>IF(AND(B169='Your paths'!E61,'Your paths'!E36&lt;&gt;"Rent"),'Your paths'!E42+'Your paths'!E65+IF('Your paths'!E36="Rent then buy",'Your paths'!E38,0),0)</f>
        <v>0</v>
      </c>
      <c r="Q169" s="33">
        <f>K169-SUM(J169,L169,M169)</f>
        <v>1362.03087360076</v>
      </c>
      <c r="R169" s="33">
        <f>IF(P169&gt;0,MIN(MAX(0,P169-N168),MAX(0,O168)),0)</f>
        <v>0</v>
      </c>
      <c r="S169" s="2">
        <f>IF(P169&gt;0,MAX(0,P169-N168-O168),0)</f>
        <v>0</v>
      </c>
    </row>
    <row r="170" ht="27" customHeight="1">
      <c r="A170" s="3" t="n"/>
      <c r="B170" s="3" t="n">
        <v>31</v>
      </c>
      <c r="C170" s="3">
        <f>IF(B170&gt;='Your paths'!E61,1,0)</f>
        <v>1</v>
      </c>
      <c r="D170" s="33">
        <f>IF(C170=1,0,'Your paths'!E37*(1+'Your paths'!$C$20)^INT((B170-1)/12))</f>
        <v>0</v>
      </c>
      <c r="E170" s="33">
        <f>IF(AND(B170='Your paths'!E61,'Your paths'!E36&lt;&gt;"Rent"),'Your paths'!E63,H169)</f>
        <v>332297.831429708</v>
      </c>
      <c r="F170" s="33">
        <f>IF(C170=1,MIN('Your paths'!E64,E170*(1+'Your paths'!E62)),0)</f>
        <v>1859.66912639924</v>
      </c>
      <c r="G170" s="33">
        <f>E170*'Your paths'!E62</f>
        <v>1234.59263777678</v>
      </c>
      <c r="H170" s="33">
        <f>MAX(0,E170+G170-F170)</f>
        <v>331672.754941086</v>
      </c>
      <c r="I170" s="33">
        <f>IF(C170=0,0,IF(AND(B170='Your paths'!E61,'Your paths'!E36&lt;&gt;"Rent"),'Your paths'!E41,I169)*(1+'Your paths'!$C$31)^(1/12))</f>
        <v>424879.773858831</v>
      </c>
      <c r="J170" s="33">
        <f>(D170+F170+IF(C170=1,('Your paths'!E45/12+'Your paths'!E46+'Your paths'!E47)*(1+'Your paths'!$C$21)^INT((B170-1)/12),0))*'Your paths'!$C$32</f>
        <v>2535.92912639924</v>
      </c>
      <c r="K170" s="33">
        <f>('Your paths'!$C$9+'Your paths'!E49)*(1+'Your paths'!$C$24)^INT((B170-1)/12)</f>
        <v>7282.8</v>
      </c>
      <c r="L170" s="33">
        <f>('Your paths'!$C$10+'Your paths'!E48)*(1+'Your paths'!$C$21)^INT((B170-1)/12)</f>
        <v>2184.84</v>
      </c>
      <c r="M170" s="33">
        <f>IF('Your paths'!E39="",'Your paths'!$C$12,'Your paths'!E39)+IF(AND('Your paths'!E55="Yes",C170=1,B170&gt;='Your paths'!E57),'Your paths'!E56,0)</f>
        <v>1200</v>
      </c>
      <c r="N170" s="33">
        <f>N169+MAX(0,N169)*((1+'Your paths'!$C$29)^(1/12)-1)+Q170-P170+R170</f>
        <v>9736.07004917177</v>
      </c>
      <c r="O170" s="33">
        <f>(O169-R170)*(1+'Your paths'!$C$30)^(1/12)+M170</f>
        <v>127161.596619237</v>
      </c>
      <c r="P170" s="33">
        <f>IF(AND(B170='Your paths'!E61,'Your paths'!E36&lt;&gt;"Rent"),'Your paths'!E42+'Your paths'!E65+IF('Your paths'!E36="Rent then buy",'Your paths'!E38,0),0)</f>
        <v>0</v>
      </c>
      <c r="Q170" s="33">
        <f>K170-SUM(J170,L170,M170)</f>
        <v>1362.03087360076</v>
      </c>
      <c r="R170" s="33">
        <f>IF(P170&gt;0,MIN(MAX(0,P170-N169),MAX(0,O169)),0)</f>
        <v>0</v>
      </c>
      <c r="S170" s="2">
        <f>IF(P170&gt;0,MAX(0,P170-N169-O169),0)</f>
        <v>0</v>
      </c>
    </row>
    <row r="171" ht="27" customHeight="1">
      <c r="A171" s="3" t="n"/>
      <c r="B171" s="3" t="n">
        <v>32</v>
      </c>
      <c r="C171" s="3">
        <f>IF(B171&gt;='Your paths'!E61,1,0)</f>
        <v>1</v>
      </c>
      <c r="D171" s="33">
        <f>IF(C171=1,0,'Your paths'!E37*(1+'Your paths'!$C$20)^INT((B171-1)/12))</f>
        <v>0</v>
      </c>
      <c r="E171" s="33">
        <f>IF(AND(B171='Your paths'!E61,'Your paths'!E36&lt;&gt;"Rent"),'Your paths'!E63,H170)</f>
        <v>331672.754941086</v>
      </c>
      <c r="F171" s="33">
        <f>IF(C171=1,MIN('Your paths'!E64,E171*(1+'Your paths'!E62)),0)</f>
        <v>1859.66912639924</v>
      </c>
      <c r="G171" s="33">
        <f>E171*'Your paths'!E62</f>
        <v>1232.27027886285</v>
      </c>
      <c r="H171" s="33">
        <f>MAX(0,E171+G171-F171)</f>
        <v>331045.356093549</v>
      </c>
      <c r="I171" s="33">
        <f>IF(C171=0,0,IF(AND(B171='Your paths'!E61,'Your paths'!E36&lt;&gt;"Rent"),'Your paths'!E41,I170)*(1+'Your paths'!$C$31)^(1/12))</f>
        <v>425581.497348901</v>
      </c>
      <c r="J171" s="33">
        <f>(D171+F171+IF(C171=1,('Your paths'!E45/12+'Your paths'!E46+'Your paths'!E47)*(1+'Your paths'!$C$21)^INT((B171-1)/12),0))*'Your paths'!$C$32</f>
        <v>2535.92912639924</v>
      </c>
      <c r="K171" s="33">
        <f>('Your paths'!$C$9+'Your paths'!E49)*(1+'Your paths'!$C$24)^INT((B171-1)/12)</f>
        <v>7282.8</v>
      </c>
      <c r="L171" s="33">
        <f>('Your paths'!$C$10+'Your paths'!E48)*(1+'Your paths'!$C$21)^INT((B171-1)/12)</f>
        <v>2184.84</v>
      </c>
      <c r="M171" s="33">
        <f>IF('Your paths'!E39="",'Your paths'!$C$12,'Your paths'!E39)+IF(AND('Your paths'!E55="Yes",C171=1,B171&gt;='Your paths'!E57),'Your paths'!E56,0)</f>
        <v>1200</v>
      </c>
      <c r="N171" s="33">
        <f>N170+MAX(0,N170)*((1+'Your paths'!$C$29)^(1/12)-1)+Q171-P171+R171</f>
        <v>11114.1808340199</v>
      </c>
      <c r="O171" s="33">
        <f>(O170-R171)*(1+'Your paths'!$C$30)^(1/12)+M171</f>
        <v>128777.890596858</v>
      </c>
      <c r="P171" s="33">
        <f>IF(AND(B171='Your paths'!E61,'Your paths'!E36&lt;&gt;"Rent"),'Your paths'!E42+'Your paths'!E65+IF('Your paths'!E36="Rent then buy",'Your paths'!E38,0),0)</f>
        <v>0</v>
      </c>
      <c r="Q171" s="33">
        <f>K171-SUM(J171,L171,M171)</f>
        <v>1362.03087360076</v>
      </c>
      <c r="R171" s="33">
        <f>IF(P171&gt;0,MIN(MAX(0,P171-N170),MAX(0,O170)),0)</f>
        <v>0</v>
      </c>
      <c r="S171" s="2">
        <f>IF(P171&gt;0,MAX(0,P171-N170-O170),0)</f>
        <v>0</v>
      </c>
    </row>
    <row r="172" ht="27" customHeight="1">
      <c r="A172" s="3" t="n"/>
      <c r="B172" s="3" t="n">
        <v>33</v>
      </c>
      <c r="C172" s="3">
        <f>IF(B172&gt;='Your paths'!E61,1,0)</f>
        <v>1</v>
      </c>
      <c r="D172" s="33">
        <f>IF(C172=1,0,'Your paths'!E37*(1+'Your paths'!$C$20)^INT((B172-1)/12))</f>
        <v>0</v>
      </c>
      <c r="E172" s="33">
        <f>IF(AND(B172='Your paths'!E61,'Your paths'!E36&lt;&gt;"Rent"),'Your paths'!E63,H171)</f>
        <v>331045.356093549</v>
      </c>
      <c r="F172" s="33">
        <f>IF(C172=1,MIN('Your paths'!E64,E172*(1+'Your paths'!E62)),0)</f>
        <v>1859.66912639924</v>
      </c>
      <c r="G172" s="33">
        <f>E172*'Your paths'!E62</f>
        <v>1229.93929164338</v>
      </c>
      <c r="H172" s="33">
        <f>MAX(0,E172+G172-F172)</f>
        <v>330415.626258794</v>
      </c>
      <c r="I172" s="33">
        <f>IF(C172=0,0,IF(AND(B172='Your paths'!E61,'Your paths'!E36&lt;&gt;"Rent"),'Your paths'!E41,I171)*(1+'Your paths'!$C$31)^(1/12))</f>
        <v>426284.379792365</v>
      </c>
      <c r="J172" s="33">
        <f>(D172+F172+IF(C172=1,('Your paths'!E45/12+'Your paths'!E46+'Your paths'!E47)*(1+'Your paths'!$C$21)^INT((B172-1)/12),0))*'Your paths'!$C$32</f>
        <v>2535.92912639924</v>
      </c>
      <c r="K172" s="33">
        <f>('Your paths'!$C$9+'Your paths'!E49)*(1+'Your paths'!$C$24)^INT((B172-1)/12)</f>
        <v>7282.8</v>
      </c>
      <c r="L172" s="33">
        <f>('Your paths'!$C$10+'Your paths'!E48)*(1+'Your paths'!$C$21)^INT((B172-1)/12)</f>
        <v>2184.84</v>
      </c>
      <c r="M172" s="33">
        <f>IF('Your paths'!E39="",'Your paths'!$C$12,'Your paths'!E39)+IF(AND('Your paths'!E55="Yes",C172=1,B172&gt;='Your paths'!E57),'Your paths'!E56,0)</f>
        <v>1200</v>
      </c>
      <c r="N172" s="33">
        <f>N171+MAX(0,N171)*((1+'Your paths'!$C$29)^(1/12)-1)+Q172-P172+R172</f>
        <v>12494.5676808723</v>
      </c>
      <c r="O172" s="33">
        <f>(O171-R172)*(1+'Your paths'!$C$30)^(1/12)+M172</f>
        <v>130399.475900372</v>
      </c>
      <c r="P172" s="33">
        <f>IF(AND(B172='Your paths'!E61,'Your paths'!E36&lt;&gt;"Rent"),'Your paths'!E42+'Your paths'!E65+IF('Your paths'!E36="Rent then buy",'Your paths'!E38,0),0)</f>
        <v>0</v>
      </c>
      <c r="Q172" s="33">
        <f>K172-SUM(J172,L172,M172)</f>
        <v>1362.03087360076</v>
      </c>
      <c r="R172" s="33">
        <f>IF(P172&gt;0,MIN(MAX(0,P172-N171),MAX(0,O171)),0)</f>
        <v>0</v>
      </c>
      <c r="S172" s="2">
        <f>IF(P172&gt;0,MAX(0,P172-N171-O171),0)</f>
        <v>0</v>
      </c>
    </row>
    <row r="173" ht="27" customHeight="1">
      <c r="A173" s="3" t="n"/>
      <c r="B173" s="3" t="n">
        <v>34</v>
      </c>
      <c r="C173" s="3">
        <f>IF(B173&gt;='Your paths'!E61,1,0)</f>
        <v>1</v>
      </c>
      <c r="D173" s="33">
        <f>IF(C173=1,0,'Your paths'!E37*(1+'Your paths'!$C$20)^INT((B173-1)/12))</f>
        <v>0</v>
      </c>
      <c r="E173" s="33">
        <f>IF(AND(B173='Your paths'!E61,'Your paths'!E36&lt;&gt;"Rent"),'Your paths'!E63,H172)</f>
        <v>330415.626258794</v>
      </c>
      <c r="F173" s="33">
        <f>IF(C173=1,MIN('Your paths'!E64,E173*(1+'Your paths'!E62)),0)</f>
        <v>1859.66912639924</v>
      </c>
      <c r="G173" s="33">
        <f>E173*'Your paths'!E62</f>
        <v>1227.59964406147</v>
      </c>
      <c r="H173" s="33">
        <f>MAX(0,E173+G173-F173)</f>
        <v>329783.556776456</v>
      </c>
      <c r="I173" s="33">
        <f>IF(C173=0,0,IF(AND(B173='Your paths'!E61,'Your paths'!E36&lt;&gt;"Rent"),'Your paths'!E41,I172)*(1+'Your paths'!$C$31)^(1/12))</f>
        <v>426988.423103331</v>
      </c>
      <c r="J173" s="33">
        <f>(D173+F173+IF(C173=1,('Your paths'!E45/12+'Your paths'!E46+'Your paths'!E47)*(1+'Your paths'!$C$21)^INT((B173-1)/12),0))*'Your paths'!$C$32</f>
        <v>2535.92912639924</v>
      </c>
      <c r="K173" s="33">
        <f>('Your paths'!$C$9+'Your paths'!E49)*(1+'Your paths'!$C$24)^INT((B173-1)/12)</f>
        <v>7282.8</v>
      </c>
      <c r="L173" s="33">
        <f>('Your paths'!$C$10+'Your paths'!E48)*(1+'Your paths'!$C$21)^INT((B173-1)/12)</f>
        <v>2184.84</v>
      </c>
      <c r="M173" s="33">
        <f>IF('Your paths'!E39="",'Your paths'!$C$12,'Your paths'!E39)+IF(AND('Your paths'!E55="Yes",C173=1,B173&gt;='Your paths'!E57),'Your paths'!E56,0)</f>
        <v>1200</v>
      </c>
      <c r="N173" s="33">
        <f>N172+MAX(0,N172)*((1+'Your paths'!$C$29)^(1/12)-1)+Q173-P173+R173</f>
        <v>13877.2343488304</v>
      </c>
      <c r="O173" s="33">
        <f>(O172-R173)*(1+'Your paths'!$C$30)^(1/12)+M173</f>
        <v>132026.369852205</v>
      </c>
      <c r="P173" s="33">
        <f>IF(AND(B173='Your paths'!E61,'Your paths'!E36&lt;&gt;"Rent"),'Your paths'!E42+'Your paths'!E65+IF('Your paths'!E36="Rent then buy",'Your paths'!E38,0),0)</f>
        <v>0</v>
      </c>
      <c r="Q173" s="33">
        <f>K173-SUM(J173,L173,M173)</f>
        <v>1362.03087360076</v>
      </c>
      <c r="R173" s="33">
        <f>IF(P173&gt;0,MIN(MAX(0,P173-N172),MAX(0,O172)),0)</f>
        <v>0</v>
      </c>
      <c r="S173" s="2">
        <f>IF(P173&gt;0,MAX(0,P173-N172-O172),0)</f>
        <v>0</v>
      </c>
    </row>
    <row r="174" ht="27" customHeight="1">
      <c r="A174" s="3" t="n"/>
      <c r="B174" s="3" t="n">
        <v>35</v>
      </c>
      <c r="C174" s="3">
        <f>IF(B174&gt;='Your paths'!E61,1,0)</f>
        <v>1</v>
      </c>
      <c r="D174" s="33">
        <f>IF(C174=1,0,'Your paths'!E37*(1+'Your paths'!$C$20)^INT((B174-1)/12))</f>
        <v>0</v>
      </c>
      <c r="E174" s="33">
        <f>IF(AND(B174='Your paths'!E61,'Your paths'!E36&lt;&gt;"Rent"),'Your paths'!E63,H173)</f>
        <v>329783.556776456</v>
      </c>
      <c r="F174" s="33">
        <f>IF(C174=1,MIN('Your paths'!E64,E174*(1+'Your paths'!E62)),0)</f>
        <v>1859.66912639924</v>
      </c>
      <c r="G174" s="33">
        <f>E174*'Your paths'!E62</f>
        <v>1225.25130394111</v>
      </c>
      <c r="H174" s="33">
        <f>MAX(0,E174+G174-F174)</f>
        <v>329149.138953998</v>
      </c>
      <c r="I174" s="33">
        <f>IF(C174=0,0,IF(AND(B174='Your paths'!E61,'Your paths'!E36&lt;&gt;"Rent"),'Your paths'!E41,I173)*(1+'Your paths'!$C$31)^(1/12))</f>
        <v>427693.629199065</v>
      </c>
      <c r="J174" s="33">
        <f>(D174+F174+IF(C174=1,('Your paths'!E45/12+'Your paths'!E46+'Your paths'!E47)*(1+'Your paths'!$C$21)^INT((B174-1)/12),0))*'Your paths'!$C$32</f>
        <v>2535.92912639924</v>
      </c>
      <c r="K174" s="33">
        <f>('Your paths'!$C$9+'Your paths'!E49)*(1+'Your paths'!$C$24)^INT((B174-1)/12)</f>
        <v>7282.8</v>
      </c>
      <c r="L174" s="33">
        <f>('Your paths'!$C$10+'Your paths'!E48)*(1+'Your paths'!$C$21)^INT((B174-1)/12)</f>
        <v>2184.84</v>
      </c>
      <c r="M174" s="33">
        <f>IF('Your paths'!E39="",'Your paths'!$C$12,'Your paths'!E39)+IF(AND('Your paths'!E55="Yes",C174=1,B174&gt;='Your paths'!E57),'Your paths'!E56,0)</f>
        <v>1200</v>
      </c>
      <c r="N174" s="33">
        <f>N173+MAX(0,N173)*((1+'Your paths'!$C$29)^(1/12)-1)+Q174-P174+R174</f>
        <v>15262.184603204</v>
      </c>
      <c r="O174" s="33">
        <f>(O173-R174)*(1+'Your paths'!$C$30)^(1/12)+M174</f>
        <v>133658.58983149</v>
      </c>
      <c r="P174" s="33">
        <f>IF(AND(B174='Your paths'!E61,'Your paths'!E36&lt;&gt;"Rent"),'Your paths'!E42+'Your paths'!E65+IF('Your paths'!E36="Rent then buy",'Your paths'!E38,0),0)</f>
        <v>0</v>
      </c>
      <c r="Q174" s="33">
        <f>K174-SUM(J174,L174,M174)</f>
        <v>1362.03087360076</v>
      </c>
      <c r="R174" s="33">
        <f>IF(P174&gt;0,MIN(MAX(0,P174-N173),MAX(0,O173)),0)</f>
        <v>0</v>
      </c>
      <c r="S174" s="2">
        <f>IF(P174&gt;0,MAX(0,P174-N173-O173),0)</f>
        <v>0</v>
      </c>
    </row>
    <row r="175" ht="27" customHeight="1">
      <c r="A175" s="3" t="n"/>
      <c r="B175" s="3" t="n">
        <v>36</v>
      </c>
      <c r="C175" s="3">
        <f>IF(B175&gt;='Your paths'!E61,1,0)</f>
        <v>1</v>
      </c>
      <c r="D175" s="33">
        <f>IF(C175=1,0,'Your paths'!E37*(1+'Your paths'!$C$20)^INT((B175-1)/12))</f>
        <v>0</v>
      </c>
      <c r="E175" s="33">
        <f>IF(AND(B175='Your paths'!E61,'Your paths'!E36&lt;&gt;"Rent"),'Your paths'!E63,H174)</f>
        <v>329149.138953998</v>
      </c>
      <c r="F175" s="33">
        <f>IF(C175=1,MIN('Your paths'!E64,E175*(1+'Your paths'!E62)),0)</f>
        <v>1859.66912639924</v>
      </c>
      <c r="G175" s="33">
        <f>E175*'Your paths'!E62</f>
        <v>1222.89423898672</v>
      </c>
      <c r="H175" s="33">
        <f>MAX(0,E175+G175-F175)</f>
        <v>328512.364066585</v>
      </c>
      <c r="I175" s="33">
        <f>IF(C175=0,0,IF(AND(B175='Your paths'!E61,'Your paths'!E36&lt;&gt;"Rent"),'Your paths'!E41,I174)*(1+'Your paths'!$C$31)^(1/12))</f>
        <v>428400</v>
      </c>
      <c r="J175" s="33">
        <f>(D175+F175+IF(C175=1,('Your paths'!E45/12+'Your paths'!E46+'Your paths'!E47)*(1+'Your paths'!$C$21)^INT((B175-1)/12),0))*'Your paths'!$C$32</f>
        <v>2535.92912639924</v>
      </c>
      <c r="K175" s="33">
        <f>('Your paths'!$C$9+'Your paths'!E49)*(1+'Your paths'!$C$24)^INT((B175-1)/12)</f>
        <v>7282.8</v>
      </c>
      <c r="L175" s="33">
        <f>('Your paths'!$C$10+'Your paths'!E48)*(1+'Your paths'!$C$21)^INT((B175-1)/12)</f>
        <v>2184.84</v>
      </c>
      <c r="M175" s="33">
        <f>IF('Your paths'!E39="",'Your paths'!$C$12,'Your paths'!E39)+IF(AND('Your paths'!E55="Yes",C175=1,B175&gt;='Your paths'!E57),'Your paths'!E56,0)</f>
        <v>1200</v>
      </c>
      <c r="N175" s="33">
        <f>N174+MAX(0,N174)*((1+'Your paths'!$C$29)^(1/12)-1)+Q175-P175+R175</f>
        <v>16649.4222155219</v>
      </c>
      <c r="O175" s="33">
        <f>(O174-R175)*(1+'Your paths'!$C$30)^(1/12)+M175</f>
        <v>135296.153274253</v>
      </c>
      <c r="P175" s="33">
        <f>IF(AND(B175='Your paths'!E61,'Your paths'!E36&lt;&gt;"Rent"),'Your paths'!E42+'Your paths'!E65+IF('Your paths'!E36="Rent then buy",'Your paths'!E38,0),0)</f>
        <v>0</v>
      </c>
      <c r="Q175" s="33">
        <f>K175-SUM(J175,L175,M175)</f>
        <v>1362.03087360076</v>
      </c>
      <c r="R175" s="33">
        <f>IF(P175&gt;0,MIN(MAX(0,P175-N174),MAX(0,O174)),0)</f>
        <v>0</v>
      </c>
      <c r="S175" s="2">
        <f>IF(P175&gt;0,MAX(0,P175-N174-O174),0)</f>
        <v>0</v>
      </c>
    </row>
    <row r="176" ht="27" customHeight="1">
      <c r="A176" s="3" t="n"/>
      <c r="B176" s="3" t="n">
        <v>37</v>
      </c>
      <c r="C176" s="3">
        <f>IF(B176&gt;='Your paths'!E61,1,0)</f>
        <v>1</v>
      </c>
      <c r="D176" s="33">
        <f>IF(C176=1,0,'Your paths'!E37*(1+'Your paths'!$C$20)^INT((B176-1)/12))</f>
        <v>0</v>
      </c>
      <c r="E176" s="33">
        <f>IF(AND(B176='Your paths'!E61,'Your paths'!E36&lt;&gt;"Rent"),'Your paths'!E63,H175)</f>
        <v>328512.364066585</v>
      </c>
      <c r="F176" s="33">
        <f>IF(C176=1,MIN('Your paths'!E64,E176*(1+'Your paths'!E62)),0)</f>
        <v>1859.66912639924</v>
      </c>
      <c r="G176" s="33">
        <f>E176*'Your paths'!E62</f>
        <v>1220.52841678277</v>
      </c>
      <c r="H176" s="33">
        <f>MAX(0,E176+G176-F176)</f>
        <v>327873.223356969</v>
      </c>
      <c r="I176" s="33">
        <f>IF(C176=0,0,IF(AND(B176='Your paths'!E61,'Your paths'!E36&lt;&gt;"Rent"),'Your paths'!E41,I175)*(1+'Your paths'!$C$31)^(1/12))</f>
        <v>429107.537429743</v>
      </c>
      <c r="J176" s="33">
        <f>(D176+F176+IF(C176=1,('Your paths'!E45/12+'Your paths'!E46+'Your paths'!E47)*(1+'Your paths'!$C$21)^INT((B176-1)/12),0))*'Your paths'!$C$32</f>
        <v>2549.45432639924</v>
      </c>
      <c r="K176" s="33">
        <f>('Your paths'!$C$9+'Your paths'!E49)*(1+'Your paths'!$C$24)^INT((B176-1)/12)</f>
        <v>7428.456</v>
      </c>
      <c r="L176" s="33">
        <f>('Your paths'!$C$10+'Your paths'!E48)*(1+'Your paths'!$C$21)^INT((B176-1)/12)</f>
        <v>2228.5368</v>
      </c>
      <c r="M176" s="33">
        <f>IF('Your paths'!E39="",'Your paths'!$C$12,'Your paths'!E39)+IF(AND('Your paths'!E55="Yes",C176=1,B176&gt;='Your paths'!E57),'Your paths'!E56,0)</f>
        <v>1200</v>
      </c>
      <c r="N176" s="33">
        <f>N175+MAX(0,N175)*((1+'Your paths'!$C$29)^(1/12)-1)+Q176-P176+R176</f>
        <v>18127.3849635416</v>
      </c>
      <c r="O176" s="33">
        <f>(O175-R176)*(1+'Your paths'!$C$30)^(1/12)+M176</f>
        <v>136939.077673606</v>
      </c>
      <c r="P176" s="33">
        <f>IF(AND(B176='Your paths'!E61,'Your paths'!E36&lt;&gt;"Rent"),'Your paths'!E42+'Your paths'!E65+IF('Your paths'!E36="Rent then buy",'Your paths'!E38,0),0)</f>
        <v>0</v>
      </c>
      <c r="Q176" s="33">
        <f>K176-SUM(J176,L176,M176)</f>
        <v>1450.46487360076</v>
      </c>
      <c r="R176" s="33">
        <f>IF(P176&gt;0,MIN(MAX(0,P176-N175),MAX(0,O175)),0)</f>
        <v>0</v>
      </c>
      <c r="S176" s="2">
        <f>IF(P176&gt;0,MAX(0,P176-N175-O175),0)</f>
        <v>0</v>
      </c>
    </row>
    <row r="177" ht="27" customHeight="1">
      <c r="A177" s="3" t="n"/>
      <c r="B177" s="3" t="n">
        <v>38</v>
      </c>
      <c r="C177" s="3">
        <f>IF(B177&gt;='Your paths'!E61,1,0)</f>
        <v>1</v>
      </c>
      <c r="D177" s="33">
        <f>IF(C177=1,0,'Your paths'!E37*(1+'Your paths'!$C$20)^INT((B177-1)/12))</f>
        <v>0</v>
      </c>
      <c r="E177" s="33">
        <f>IF(AND(B177='Your paths'!E61,'Your paths'!E36&lt;&gt;"Rent"),'Your paths'!E63,H176)</f>
        <v>327873.223356969</v>
      </c>
      <c r="F177" s="33">
        <f>IF(C177=1,MIN('Your paths'!E64,E177*(1+'Your paths'!E62)),0)</f>
        <v>1859.66912639924</v>
      </c>
      <c r="G177" s="33">
        <f>E177*'Your paths'!E62</f>
        <v>1218.15380479328</v>
      </c>
      <c r="H177" s="33">
        <f>MAX(0,E177+G177-F177)</f>
        <v>327231.708035363</v>
      </c>
      <c r="I177" s="33">
        <f>IF(C177=0,0,IF(AND(B177='Your paths'!E61,'Your paths'!E36&lt;&gt;"Rent"),'Your paths'!E41,I176)*(1+'Your paths'!$C$31)^(1/12))</f>
        <v>429816.243415075</v>
      </c>
      <c r="J177" s="33">
        <f>(D177+F177+IF(C177=1,('Your paths'!E45/12+'Your paths'!E46+'Your paths'!E47)*(1+'Your paths'!$C$21)^INT((B177-1)/12),0))*'Your paths'!$C$32</f>
        <v>2549.45432639924</v>
      </c>
      <c r="K177" s="33">
        <f>('Your paths'!$C$9+'Your paths'!E49)*(1+'Your paths'!$C$24)^INT((B177-1)/12)</f>
        <v>7428.456</v>
      </c>
      <c r="L177" s="33">
        <f>('Your paths'!$C$10+'Your paths'!E48)*(1+'Your paths'!$C$21)^INT((B177-1)/12)</f>
        <v>2228.5368</v>
      </c>
      <c r="M177" s="33">
        <f>IF('Your paths'!E39="",'Your paths'!$C$12,'Your paths'!E39)+IF(AND('Your paths'!E55="Yes",C177=1,B177&gt;='Your paths'!E57),'Your paths'!E56,0)</f>
        <v>1200</v>
      </c>
      <c r="N177" s="33">
        <f>N176+MAX(0,N176)*((1+'Your paths'!$C$29)^(1/12)-1)+Q177-P177+R177</f>
        <v>19607.7886872008</v>
      </c>
      <c r="O177" s="33">
        <f>(O176-R177)*(1+'Your paths'!$C$30)^(1/12)+M177</f>
        <v>138587.380579924</v>
      </c>
      <c r="P177" s="33">
        <f>IF(AND(B177='Your paths'!E61,'Your paths'!E36&lt;&gt;"Rent"),'Your paths'!E42+'Your paths'!E65+IF('Your paths'!E36="Rent then buy",'Your paths'!E38,0),0)</f>
        <v>0</v>
      </c>
      <c r="Q177" s="33">
        <f>K177-SUM(J177,L177,M177)</f>
        <v>1450.46487360076</v>
      </c>
      <c r="R177" s="33">
        <f>IF(P177&gt;0,MIN(MAX(0,P177-N176),MAX(0,O176)),0)</f>
        <v>0</v>
      </c>
      <c r="S177" s="2">
        <f>IF(P177&gt;0,MAX(0,P177-N176-O176),0)</f>
        <v>0</v>
      </c>
    </row>
    <row r="178" ht="27" customHeight="1">
      <c r="A178" s="3" t="n"/>
      <c r="B178" s="3" t="n">
        <v>39</v>
      </c>
      <c r="C178" s="3">
        <f>IF(B178&gt;='Your paths'!E61,1,0)</f>
        <v>1</v>
      </c>
      <c r="D178" s="33">
        <f>IF(C178=1,0,'Your paths'!E37*(1+'Your paths'!$C$20)^INT((B178-1)/12))</f>
        <v>0</v>
      </c>
      <c r="E178" s="33">
        <f>IF(AND(B178='Your paths'!E61,'Your paths'!E36&lt;&gt;"Rent"),'Your paths'!E63,H177)</f>
        <v>327231.708035363</v>
      </c>
      <c r="F178" s="33">
        <f>IF(C178=1,MIN('Your paths'!E64,E178*(1+'Your paths'!E62)),0)</f>
        <v>1859.66912639924</v>
      </c>
      <c r="G178" s="33">
        <f>E178*'Your paths'!E62</f>
        <v>1215.77037036138</v>
      </c>
      <c r="H178" s="33">
        <f>MAX(0,E178+G178-F178)</f>
        <v>326587.809279325</v>
      </c>
      <c r="I178" s="33">
        <f>IF(C178=0,0,IF(AND(B178='Your paths'!E61,'Your paths'!E36&lt;&gt;"Rent"),'Your paths'!E41,I177)*(1+'Your paths'!$C$31)^(1/12))</f>
        <v>430526.119885961</v>
      </c>
      <c r="J178" s="33">
        <f>(D178+F178+IF(C178=1,('Your paths'!E45/12+'Your paths'!E46+'Your paths'!E47)*(1+'Your paths'!$C$21)^INT((B178-1)/12),0))*'Your paths'!$C$32</f>
        <v>2549.45432639924</v>
      </c>
      <c r="K178" s="33">
        <f>('Your paths'!$C$9+'Your paths'!E49)*(1+'Your paths'!$C$24)^INT((B178-1)/12)</f>
        <v>7428.456</v>
      </c>
      <c r="L178" s="33">
        <f>('Your paths'!$C$10+'Your paths'!E48)*(1+'Your paths'!$C$21)^INT((B178-1)/12)</f>
        <v>2228.5368</v>
      </c>
      <c r="M178" s="33">
        <f>IF('Your paths'!E39="",'Your paths'!$C$12,'Your paths'!E39)+IF(AND('Your paths'!E55="Yes",C178=1,B178&gt;='Your paths'!E57),'Your paths'!E56,0)</f>
        <v>1200</v>
      </c>
      <c r="N178" s="33">
        <f>N177+MAX(0,N177)*((1+'Your paths'!$C$29)^(1/12)-1)+Q178-P178+R178</f>
        <v>21090.6374179694</v>
      </c>
      <c r="O178" s="33">
        <f>(O177-R178)*(1+'Your paths'!$C$30)^(1/12)+M178</f>
        <v>140241.079601039</v>
      </c>
      <c r="P178" s="33">
        <f>IF(AND(B178='Your paths'!E61,'Your paths'!E36&lt;&gt;"Rent"),'Your paths'!E42+'Your paths'!E65+IF('Your paths'!E36="Rent then buy",'Your paths'!E38,0),0)</f>
        <v>0</v>
      </c>
      <c r="Q178" s="33">
        <f>K178-SUM(J178,L178,M178)</f>
        <v>1450.46487360076</v>
      </c>
      <c r="R178" s="33">
        <f>IF(P178&gt;0,MIN(MAX(0,P178-N177),MAX(0,O177)),0)</f>
        <v>0</v>
      </c>
      <c r="S178" s="2">
        <f>IF(P178&gt;0,MAX(0,P178-N177-O177),0)</f>
        <v>0</v>
      </c>
    </row>
    <row r="179" ht="27" customHeight="1">
      <c r="A179" s="3" t="n"/>
      <c r="B179" s="3" t="n">
        <v>40</v>
      </c>
      <c r="C179" s="3">
        <f>IF(B179&gt;='Your paths'!E61,1,0)</f>
        <v>1</v>
      </c>
      <c r="D179" s="33">
        <f>IF(C179=1,0,'Your paths'!E37*(1+'Your paths'!$C$20)^INT((B179-1)/12))</f>
        <v>0</v>
      </c>
      <c r="E179" s="33">
        <f>IF(AND(B179='Your paths'!E61,'Your paths'!E36&lt;&gt;"Rent"),'Your paths'!E63,H178)</f>
        <v>326587.809279325</v>
      </c>
      <c r="F179" s="33">
        <f>IF(C179=1,MIN('Your paths'!E64,E179*(1+'Your paths'!E62)),0)</f>
        <v>1859.66912639924</v>
      </c>
      <c r="G179" s="33">
        <f>E179*'Your paths'!E62</f>
        <v>1213.37808070887</v>
      </c>
      <c r="H179" s="33">
        <f>MAX(0,E179+G179-F179)</f>
        <v>325941.518233634</v>
      </c>
      <c r="I179" s="33">
        <f>IF(C179=0,0,IF(AND(B179='Your paths'!E61,'Your paths'!E36&lt;&gt;"Rent"),'Your paths'!E41,I178)*(1+'Your paths'!$C$31)^(1/12))</f>
        <v>431237.168775553</v>
      </c>
      <c r="J179" s="33">
        <f>(D179+F179+IF(C179=1,('Your paths'!E45/12+'Your paths'!E46+'Your paths'!E47)*(1+'Your paths'!$C$21)^INT((B179-1)/12),0))*'Your paths'!$C$32</f>
        <v>2549.45432639924</v>
      </c>
      <c r="K179" s="33">
        <f>('Your paths'!$C$9+'Your paths'!E49)*(1+'Your paths'!$C$24)^INT((B179-1)/12)</f>
        <v>7428.456</v>
      </c>
      <c r="L179" s="33">
        <f>('Your paths'!$C$10+'Your paths'!E48)*(1+'Your paths'!$C$21)^INT((B179-1)/12)</f>
        <v>2228.5368</v>
      </c>
      <c r="M179" s="33">
        <f>IF('Your paths'!E39="",'Your paths'!$C$12,'Your paths'!E39)+IF(AND('Your paths'!E55="Yes",C179=1,B179&gt;='Your paths'!E57),'Your paths'!E56,0)</f>
        <v>1200</v>
      </c>
      <c r="N179" s="33">
        <f>N178+MAX(0,N178)*((1+'Your paths'!$C$29)^(1/12)-1)+Q179-P179+R179</f>
        <v>22575.9351939752</v>
      </c>
      <c r="O179" s="33">
        <f>(O178-R179)*(1+'Your paths'!$C$30)^(1/12)+M179</f>
        <v>141900.192402427</v>
      </c>
      <c r="P179" s="33">
        <f>IF(AND(B179='Your paths'!E61,'Your paths'!E36&lt;&gt;"Rent"),'Your paths'!E42+'Your paths'!E65+IF('Your paths'!E36="Rent then buy",'Your paths'!E38,0),0)</f>
        <v>0</v>
      </c>
      <c r="Q179" s="33">
        <f>K179-SUM(J179,L179,M179)</f>
        <v>1450.46487360076</v>
      </c>
      <c r="R179" s="33">
        <f>IF(P179&gt;0,MIN(MAX(0,P179-N178),MAX(0,O178)),0)</f>
        <v>0</v>
      </c>
      <c r="S179" s="2">
        <f>IF(P179&gt;0,MAX(0,P179-N178-O178),0)</f>
        <v>0</v>
      </c>
    </row>
    <row r="180" ht="27" customHeight="1">
      <c r="A180" s="3" t="n"/>
      <c r="B180" s="3" t="n">
        <v>41</v>
      </c>
      <c r="C180" s="3">
        <f>IF(B180&gt;='Your paths'!E61,1,0)</f>
        <v>1</v>
      </c>
      <c r="D180" s="33">
        <f>IF(C180=1,0,'Your paths'!E37*(1+'Your paths'!$C$20)^INT((B180-1)/12))</f>
        <v>0</v>
      </c>
      <c r="E180" s="33">
        <f>IF(AND(B180='Your paths'!E61,'Your paths'!E36&lt;&gt;"Rent"),'Your paths'!E63,H179)</f>
        <v>325941.518233634</v>
      </c>
      <c r="F180" s="33">
        <f>IF(C180=1,MIN('Your paths'!E64,E180*(1+'Your paths'!E62)),0)</f>
        <v>1859.66912639924</v>
      </c>
      <c r="G180" s="33">
        <f>E180*'Your paths'!E62</f>
        <v>1210.9769029358</v>
      </c>
      <c r="H180" s="33">
        <f>MAX(0,E180+G180-F180)</f>
        <v>325292.826010171</v>
      </c>
      <c r="I180" s="33">
        <f>IF(C180=0,0,IF(AND(B180='Your paths'!E61,'Your paths'!E36&lt;&gt;"Rent"),'Your paths'!E41,I179)*(1+'Your paths'!$C$31)^(1/12))</f>
        <v>431949.392020196</v>
      </c>
      <c r="J180" s="33">
        <f>(D180+F180+IF(C180=1,('Your paths'!E45/12+'Your paths'!E46+'Your paths'!E47)*(1+'Your paths'!$C$21)^INT((B180-1)/12),0))*'Your paths'!$C$32</f>
        <v>2549.45432639924</v>
      </c>
      <c r="K180" s="33">
        <f>('Your paths'!$C$9+'Your paths'!E49)*(1+'Your paths'!$C$24)^INT((B180-1)/12)</f>
        <v>7428.456</v>
      </c>
      <c r="L180" s="33">
        <f>('Your paths'!$C$10+'Your paths'!E48)*(1+'Your paths'!$C$21)^INT((B180-1)/12)</f>
        <v>2228.5368</v>
      </c>
      <c r="M180" s="33">
        <f>IF('Your paths'!E39="",'Your paths'!$C$12,'Your paths'!E39)+IF(AND('Your paths'!E55="Yes",C180=1,B180&gt;='Your paths'!E57),'Your paths'!E56,0)</f>
        <v>1200</v>
      </c>
      <c r="N180" s="33">
        <f>N179+MAX(0,N179)*((1+'Your paths'!$C$29)^(1/12)-1)+Q180-P180+R180</f>
        <v>24063.6860600157</v>
      </c>
      <c r="O180" s="33">
        <f>(O179-R180)*(1+'Your paths'!$C$30)^(1/12)+M180</f>
        <v>143564.736707397</v>
      </c>
      <c r="P180" s="33">
        <f>IF(AND(B180='Your paths'!E61,'Your paths'!E36&lt;&gt;"Rent"),'Your paths'!E42+'Your paths'!E65+IF('Your paths'!E36="Rent then buy",'Your paths'!E38,0),0)</f>
        <v>0</v>
      </c>
      <c r="Q180" s="33">
        <f>K180-SUM(J180,L180,M180)</f>
        <v>1450.46487360076</v>
      </c>
      <c r="R180" s="33">
        <f>IF(P180&gt;0,MIN(MAX(0,P180-N179),MAX(0,O179)),0)</f>
        <v>0</v>
      </c>
      <c r="S180" s="2">
        <f>IF(P180&gt;0,MAX(0,P180-N179-O179),0)</f>
        <v>0</v>
      </c>
    </row>
    <row r="181" ht="27" customHeight="1">
      <c r="A181" s="3" t="n"/>
      <c r="B181" s="3" t="n">
        <v>42</v>
      </c>
      <c r="C181" s="3">
        <f>IF(B181&gt;='Your paths'!E61,1,0)</f>
        <v>1</v>
      </c>
      <c r="D181" s="33">
        <f>IF(C181=1,0,'Your paths'!E37*(1+'Your paths'!$C$20)^INT((B181-1)/12))</f>
        <v>0</v>
      </c>
      <c r="E181" s="33">
        <f>IF(AND(B181='Your paths'!E61,'Your paths'!E36&lt;&gt;"Rent"),'Your paths'!E63,H180)</f>
        <v>325292.826010171</v>
      </c>
      <c r="F181" s="33">
        <f>IF(C181=1,MIN('Your paths'!E64,E181*(1+'Your paths'!E62)),0)</f>
        <v>1859.66912639924</v>
      </c>
      <c r="G181" s="33">
        <f>E181*'Your paths'!E62</f>
        <v>1208.56680401994</v>
      </c>
      <c r="H181" s="33">
        <f>MAX(0,E181+G181-F181)</f>
        <v>324641.723687792</v>
      </c>
      <c r="I181" s="33">
        <f>IF(C181=0,0,IF(AND(B181='Your paths'!E61,'Your paths'!E36&lt;&gt;"Rent"),'Your paths'!E41,I180)*(1+'Your paths'!$C$31)^(1/12))</f>
        <v>432662.791559432</v>
      </c>
      <c r="J181" s="33">
        <f>(D181+F181+IF(C181=1,('Your paths'!E45/12+'Your paths'!E46+'Your paths'!E47)*(1+'Your paths'!$C$21)^INT((B181-1)/12),0))*'Your paths'!$C$32</f>
        <v>2549.45432639924</v>
      </c>
      <c r="K181" s="33">
        <f>('Your paths'!$C$9+'Your paths'!E49)*(1+'Your paths'!$C$24)^INT((B181-1)/12)</f>
        <v>7428.456</v>
      </c>
      <c r="L181" s="33">
        <f>('Your paths'!$C$10+'Your paths'!E48)*(1+'Your paths'!$C$21)^INT((B181-1)/12)</f>
        <v>2228.5368</v>
      </c>
      <c r="M181" s="33">
        <f>IF('Your paths'!E39="",'Your paths'!$C$12,'Your paths'!E39)+IF(AND('Your paths'!E55="Yes",C181=1,B181&gt;='Your paths'!E57),'Your paths'!E56,0)</f>
        <v>1200</v>
      </c>
      <c r="N181" s="33">
        <f>N180+MAX(0,N180)*((1+'Your paths'!$C$29)^(1/12)-1)+Q181-P181+R181</f>
        <v>25553.8940675685</v>
      </c>
      <c r="O181" s="33">
        <f>(O180-R181)*(1+'Your paths'!$C$30)^(1/12)+M181</f>
        <v>145234.730297277</v>
      </c>
      <c r="P181" s="33">
        <f>IF(AND(B181='Your paths'!E61,'Your paths'!E36&lt;&gt;"Rent"),'Your paths'!E42+'Your paths'!E65+IF('Your paths'!E36="Rent then buy",'Your paths'!E38,0),0)</f>
        <v>0</v>
      </c>
      <c r="Q181" s="33">
        <f>K181-SUM(J181,L181,M181)</f>
        <v>1450.46487360076</v>
      </c>
      <c r="R181" s="33">
        <f>IF(P181&gt;0,MIN(MAX(0,P181-N180),MAX(0,O180)),0)</f>
        <v>0</v>
      </c>
      <c r="S181" s="2">
        <f>IF(P181&gt;0,MAX(0,P181-N180-O180),0)</f>
        <v>0</v>
      </c>
    </row>
    <row r="182" ht="27" customHeight="1">
      <c r="A182" s="3" t="n"/>
      <c r="B182" s="3" t="n">
        <v>43</v>
      </c>
      <c r="C182" s="3">
        <f>IF(B182&gt;='Your paths'!E61,1,0)</f>
        <v>1</v>
      </c>
      <c r="D182" s="33">
        <f>IF(C182=1,0,'Your paths'!E37*(1+'Your paths'!$C$20)^INT((B182-1)/12))</f>
        <v>0</v>
      </c>
      <c r="E182" s="33">
        <f>IF(AND(B182='Your paths'!E61,'Your paths'!E36&lt;&gt;"Rent"),'Your paths'!E63,H181)</f>
        <v>324641.723687792</v>
      </c>
      <c r="F182" s="33">
        <f>IF(C182=1,MIN('Your paths'!E64,E182*(1+'Your paths'!E62)),0)</f>
        <v>1859.66912639924</v>
      </c>
      <c r="G182" s="33">
        <f>E182*'Your paths'!E62</f>
        <v>1206.1477508164</v>
      </c>
      <c r="H182" s="33">
        <f>MAX(0,E182+G182-F182)</f>
        <v>323988.202312209</v>
      </c>
      <c r="I182" s="33">
        <f>IF(C182=0,0,IF(AND(B182='Your paths'!E61,'Your paths'!E36&lt;&gt;"Rent"),'Your paths'!E41,I181)*(1+'Your paths'!$C$31)^(1/12))</f>
        <v>433377.369336008</v>
      </c>
      <c r="J182" s="33">
        <f>(D182+F182+IF(C182=1,('Your paths'!E45/12+'Your paths'!E46+'Your paths'!E47)*(1+'Your paths'!$C$21)^INT((B182-1)/12),0))*'Your paths'!$C$32</f>
        <v>2549.45432639924</v>
      </c>
      <c r="K182" s="33">
        <f>('Your paths'!$C$9+'Your paths'!E49)*(1+'Your paths'!$C$24)^INT((B182-1)/12)</f>
        <v>7428.456</v>
      </c>
      <c r="L182" s="33">
        <f>('Your paths'!$C$10+'Your paths'!E48)*(1+'Your paths'!$C$21)^INT((B182-1)/12)</f>
        <v>2228.5368</v>
      </c>
      <c r="M182" s="33">
        <f>IF('Your paths'!E39="",'Your paths'!$C$12,'Your paths'!E39)+IF(AND('Your paths'!E55="Yes",C182=1,B182&gt;='Your paths'!E57),'Your paths'!E56,0)</f>
        <v>1200</v>
      </c>
      <c r="N182" s="33">
        <f>N181+MAX(0,N181)*((1+'Your paths'!$C$29)^(1/12)-1)+Q182-P182+R182</f>
        <v>27046.5632748025</v>
      </c>
      <c r="O182" s="33">
        <f>(O181-R182)*(1+'Your paths'!$C$30)^(1/12)+M182</f>
        <v>146910.191011608</v>
      </c>
      <c r="P182" s="33">
        <f>IF(AND(B182='Your paths'!E61,'Your paths'!E36&lt;&gt;"Rent"),'Your paths'!E42+'Your paths'!E65+IF('Your paths'!E36="Rent then buy",'Your paths'!E38,0),0)</f>
        <v>0</v>
      </c>
      <c r="Q182" s="33">
        <f>K182-SUM(J182,L182,M182)</f>
        <v>1450.46487360076</v>
      </c>
      <c r="R182" s="33">
        <f>IF(P182&gt;0,MIN(MAX(0,P182-N181),MAX(0,O181)),0)</f>
        <v>0</v>
      </c>
      <c r="S182" s="2">
        <f>IF(P182&gt;0,MAX(0,P182-N181-O181),0)</f>
        <v>0</v>
      </c>
    </row>
    <row r="183" ht="27" customHeight="1">
      <c r="A183" s="3" t="n"/>
      <c r="B183" s="3" t="n">
        <v>44</v>
      </c>
      <c r="C183" s="3">
        <f>IF(B183&gt;='Your paths'!E61,1,0)</f>
        <v>1</v>
      </c>
      <c r="D183" s="33">
        <f>IF(C183=1,0,'Your paths'!E37*(1+'Your paths'!$C$20)^INT((B183-1)/12))</f>
        <v>0</v>
      </c>
      <c r="E183" s="33">
        <f>IF(AND(B183='Your paths'!E61,'Your paths'!E36&lt;&gt;"Rent"),'Your paths'!E63,H182)</f>
        <v>323988.202312209</v>
      </c>
      <c r="F183" s="33">
        <f>IF(C183=1,MIN('Your paths'!E64,E183*(1+'Your paths'!E62)),0)</f>
        <v>1859.66912639924</v>
      </c>
      <c r="G183" s="33">
        <f>E183*'Your paths'!E62</f>
        <v>1203.71971005714</v>
      </c>
      <c r="H183" s="33">
        <f>MAX(0,E183+G183-F183)</f>
        <v>323332.252895867</v>
      </c>
      <c r="I183" s="33">
        <f>IF(C183=0,0,IF(AND(B183='Your paths'!E61,'Your paths'!E36&lt;&gt;"Rent"),'Your paths'!E41,I182)*(1+'Your paths'!$C$31)^(1/12))</f>
        <v>434093.127295879</v>
      </c>
      <c r="J183" s="33">
        <f>(D183+F183+IF(C183=1,('Your paths'!E45/12+'Your paths'!E46+'Your paths'!E47)*(1+'Your paths'!$C$21)^INT((B183-1)/12),0))*'Your paths'!$C$32</f>
        <v>2549.45432639924</v>
      </c>
      <c r="K183" s="33">
        <f>('Your paths'!$C$9+'Your paths'!E49)*(1+'Your paths'!$C$24)^INT((B183-1)/12)</f>
        <v>7428.456</v>
      </c>
      <c r="L183" s="33">
        <f>('Your paths'!$C$10+'Your paths'!E48)*(1+'Your paths'!$C$21)^INT((B183-1)/12)</f>
        <v>2228.5368</v>
      </c>
      <c r="M183" s="33">
        <f>IF('Your paths'!E39="",'Your paths'!$C$12,'Your paths'!E39)+IF(AND('Your paths'!E55="Yes",C183=1,B183&gt;='Your paths'!E57),'Your paths'!E56,0)</f>
        <v>1200</v>
      </c>
      <c r="N183" s="33">
        <f>N182+MAX(0,N182)*((1+'Your paths'!$C$29)^(1/12)-1)+Q183-P183+R183</f>
        <v>28541.6977465891</v>
      </c>
      <c r="O183" s="33">
        <f>(O182-R183)*(1+'Your paths'!$C$30)^(1/12)+M183</f>
        <v>148591.136748333</v>
      </c>
      <c r="P183" s="33">
        <f>IF(AND(B183='Your paths'!E61,'Your paths'!E36&lt;&gt;"Rent"),'Your paths'!E42+'Your paths'!E65+IF('Your paths'!E36="Rent then buy",'Your paths'!E38,0),0)</f>
        <v>0</v>
      </c>
      <c r="Q183" s="33">
        <f>K183-SUM(J183,L183,M183)</f>
        <v>1450.46487360076</v>
      </c>
      <c r="R183" s="33">
        <f>IF(P183&gt;0,MIN(MAX(0,P183-N182),MAX(0,O182)),0)</f>
        <v>0</v>
      </c>
      <c r="S183" s="2">
        <f>IF(P183&gt;0,MAX(0,P183-N182-O182),0)</f>
        <v>0</v>
      </c>
    </row>
    <row r="184" ht="27" customHeight="1">
      <c r="A184" s="3" t="n"/>
      <c r="B184" s="3" t="n">
        <v>45</v>
      </c>
      <c r="C184" s="3">
        <f>IF(B184&gt;='Your paths'!E61,1,0)</f>
        <v>1</v>
      </c>
      <c r="D184" s="33">
        <f>IF(C184=1,0,'Your paths'!E37*(1+'Your paths'!$C$20)^INT((B184-1)/12))</f>
        <v>0</v>
      </c>
      <c r="E184" s="33">
        <f>IF(AND(B184='Your paths'!E61,'Your paths'!E36&lt;&gt;"Rent"),'Your paths'!E63,H183)</f>
        <v>323332.252895867</v>
      </c>
      <c r="F184" s="33">
        <f>IF(C184=1,MIN('Your paths'!E64,E184*(1+'Your paths'!E62)),0)</f>
        <v>1859.66912639924</v>
      </c>
      <c r="G184" s="33">
        <f>E184*'Your paths'!E62</f>
        <v>1201.28264835052</v>
      </c>
      <c r="H184" s="33">
        <f>MAX(0,E184+G184-F184)</f>
        <v>322673.866417818</v>
      </c>
      <c r="I184" s="33">
        <f>IF(C184=0,0,IF(AND(B184='Your paths'!E61,'Your paths'!E36&lt;&gt;"Rent"),'Your paths'!E41,I183)*(1+'Your paths'!$C$31)^(1/12))</f>
        <v>434810.067388213</v>
      </c>
      <c r="J184" s="33">
        <f>(D184+F184+IF(C184=1,('Your paths'!E45/12+'Your paths'!E46+'Your paths'!E47)*(1+'Your paths'!$C$21)^INT((B184-1)/12),0))*'Your paths'!$C$32</f>
        <v>2549.45432639924</v>
      </c>
      <c r="K184" s="33">
        <f>('Your paths'!$C$9+'Your paths'!E49)*(1+'Your paths'!$C$24)^INT((B184-1)/12)</f>
        <v>7428.456</v>
      </c>
      <c r="L184" s="33">
        <f>('Your paths'!$C$10+'Your paths'!E48)*(1+'Your paths'!$C$21)^INT((B184-1)/12)</f>
        <v>2228.5368</v>
      </c>
      <c r="M184" s="33">
        <f>IF('Your paths'!E39="",'Your paths'!$C$12,'Your paths'!E39)+IF(AND('Your paths'!E55="Yes",C184=1,B184&gt;='Your paths'!E57),'Your paths'!E56,0)</f>
        <v>1200</v>
      </c>
      <c r="N184" s="33">
        <f>N183+MAX(0,N183)*((1+'Your paths'!$C$29)^(1/12)-1)+Q184-P184+R184</f>
        <v>30039.3015545132</v>
      </c>
      <c r="O184" s="33">
        <f>(O183-R184)*(1+'Your paths'!$C$30)^(1/12)+M184</f>
        <v>150277.585463988</v>
      </c>
      <c r="P184" s="33">
        <f>IF(AND(B184='Your paths'!E61,'Your paths'!E36&lt;&gt;"Rent"),'Your paths'!E42+'Your paths'!E65+IF('Your paths'!E36="Rent then buy",'Your paths'!E38,0),0)</f>
        <v>0</v>
      </c>
      <c r="Q184" s="33">
        <f>K184-SUM(J184,L184,M184)</f>
        <v>1450.46487360076</v>
      </c>
      <c r="R184" s="33">
        <f>IF(P184&gt;0,MIN(MAX(0,P184-N183),MAX(0,O183)),0)</f>
        <v>0</v>
      </c>
      <c r="S184" s="2">
        <f>IF(P184&gt;0,MAX(0,P184-N183-O183),0)</f>
        <v>0</v>
      </c>
    </row>
    <row r="185" ht="27" customHeight="1">
      <c r="A185" s="3" t="n"/>
      <c r="B185" s="3" t="n">
        <v>46</v>
      </c>
      <c r="C185" s="3">
        <f>IF(B185&gt;='Your paths'!E61,1,0)</f>
        <v>1</v>
      </c>
      <c r="D185" s="33">
        <f>IF(C185=1,0,'Your paths'!E37*(1+'Your paths'!$C$20)^INT((B185-1)/12))</f>
        <v>0</v>
      </c>
      <c r="E185" s="33">
        <f>IF(AND(B185='Your paths'!E61,'Your paths'!E36&lt;&gt;"Rent"),'Your paths'!E63,H184)</f>
        <v>322673.866417818</v>
      </c>
      <c r="F185" s="33">
        <f>IF(C185=1,MIN('Your paths'!E64,E185*(1+'Your paths'!E62)),0)</f>
        <v>1859.66912639924</v>
      </c>
      <c r="G185" s="33">
        <f>E185*'Your paths'!E62</f>
        <v>1198.83653218084</v>
      </c>
      <c r="H185" s="33">
        <f>MAX(0,E185+G185-F185)</f>
        <v>322013.033823599</v>
      </c>
      <c r="I185" s="33">
        <f>IF(C185=0,0,IF(AND(B185='Your paths'!E61,'Your paths'!E36&lt;&gt;"Rent"),'Your paths'!E41,I184)*(1+'Your paths'!$C$31)^(1/12))</f>
        <v>435528.191565398</v>
      </c>
      <c r="J185" s="33">
        <f>(D185+F185+IF(C185=1,('Your paths'!E45/12+'Your paths'!E46+'Your paths'!E47)*(1+'Your paths'!$C$21)^INT((B185-1)/12),0))*'Your paths'!$C$32</f>
        <v>2549.45432639924</v>
      </c>
      <c r="K185" s="33">
        <f>('Your paths'!$C$9+'Your paths'!E49)*(1+'Your paths'!$C$24)^INT((B185-1)/12)</f>
        <v>7428.456</v>
      </c>
      <c r="L185" s="33">
        <f>('Your paths'!$C$10+'Your paths'!E48)*(1+'Your paths'!$C$21)^INT((B185-1)/12)</f>
        <v>2228.5368</v>
      </c>
      <c r="M185" s="33">
        <f>IF('Your paths'!E39="",'Your paths'!$C$12,'Your paths'!E39)+IF(AND('Your paths'!E55="Yes",C185=1,B185&gt;='Your paths'!E57),'Your paths'!E56,0)</f>
        <v>1200</v>
      </c>
      <c r="N185" s="33">
        <f>N184+MAX(0,N184)*((1+'Your paths'!$C$29)^(1/12)-1)+Q185-P185+R185</f>
        <v>31539.3787768841</v>
      </c>
      <c r="O185" s="33">
        <f>(O184-R185)*(1+'Your paths'!$C$30)^(1/12)+M185</f>
        <v>151969.555173894</v>
      </c>
      <c r="P185" s="33">
        <f>IF(AND(B185='Your paths'!E61,'Your paths'!E36&lt;&gt;"Rent"),'Your paths'!E42+'Your paths'!E65+IF('Your paths'!E36="Rent then buy",'Your paths'!E38,0),0)</f>
        <v>0</v>
      </c>
      <c r="Q185" s="33">
        <f>K185-SUM(J185,L185,M185)</f>
        <v>1450.46487360076</v>
      </c>
      <c r="R185" s="33">
        <f>IF(P185&gt;0,MIN(MAX(0,P185-N184),MAX(0,O184)),0)</f>
        <v>0</v>
      </c>
      <c r="S185" s="2">
        <f>IF(P185&gt;0,MAX(0,P185-N184-O184),0)</f>
        <v>0</v>
      </c>
    </row>
    <row r="186" ht="27" customHeight="1">
      <c r="A186" s="3" t="n"/>
      <c r="B186" s="3" t="n">
        <v>47</v>
      </c>
      <c r="C186" s="3">
        <f>IF(B186&gt;='Your paths'!E61,1,0)</f>
        <v>1</v>
      </c>
      <c r="D186" s="33">
        <f>IF(C186=1,0,'Your paths'!E37*(1+'Your paths'!$C$20)^INT((B186-1)/12))</f>
        <v>0</v>
      </c>
      <c r="E186" s="33">
        <f>IF(AND(B186='Your paths'!E61,'Your paths'!E36&lt;&gt;"Rent"),'Your paths'!E63,H185)</f>
        <v>322013.033823599</v>
      </c>
      <c r="F186" s="33">
        <f>IF(C186=1,MIN('Your paths'!E64,E186*(1+'Your paths'!E62)),0)</f>
        <v>1859.66912639924</v>
      </c>
      <c r="G186" s="33">
        <f>E186*'Your paths'!E62</f>
        <v>1196.38132790787</v>
      </c>
      <c r="H186" s="33">
        <f>MAX(0,E186+G186-F186)</f>
        <v>321349.746025108</v>
      </c>
      <c r="I186" s="33">
        <f>IF(C186=0,0,IF(AND(B186='Your paths'!E61,'Your paths'!E36&lt;&gt;"Rent"),'Your paths'!E41,I185)*(1+'Your paths'!$C$31)^(1/12))</f>
        <v>436247.501783046</v>
      </c>
      <c r="J186" s="33">
        <f>(D186+F186+IF(C186=1,('Your paths'!E45/12+'Your paths'!E46+'Your paths'!E47)*(1+'Your paths'!$C$21)^INT((B186-1)/12),0))*'Your paths'!$C$32</f>
        <v>2549.45432639924</v>
      </c>
      <c r="K186" s="33">
        <f>('Your paths'!$C$9+'Your paths'!E49)*(1+'Your paths'!$C$24)^INT((B186-1)/12)</f>
        <v>7428.456</v>
      </c>
      <c r="L186" s="33">
        <f>('Your paths'!$C$10+'Your paths'!E48)*(1+'Your paths'!$C$21)^INT((B186-1)/12)</f>
        <v>2228.5368</v>
      </c>
      <c r="M186" s="33">
        <f>IF('Your paths'!E39="",'Your paths'!$C$12,'Your paths'!E39)+IF(AND('Your paths'!E55="Yes",C186=1,B186&gt;='Your paths'!E57),'Your paths'!E56,0)</f>
        <v>1200</v>
      </c>
      <c r="N186" s="33">
        <f>N185+MAX(0,N185)*((1+'Your paths'!$C$29)^(1/12)-1)+Q186-P186+R186</f>
        <v>33041.933498747</v>
      </c>
      <c r="O186" s="33">
        <f>(O185-R186)*(1+'Your paths'!$C$30)^(1/12)+M186</f>
        <v>153667.06395235</v>
      </c>
      <c r="P186" s="33">
        <f>IF(AND(B186='Your paths'!E61,'Your paths'!E36&lt;&gt;"Rent"),'Your paths'!E42+'Your paths'!E65+IF('Your paths'!E36="Rent then buy",'Your paths'!E38,0),0)</f>
        <v>0</v>
      </c>
      <c r="Q186" s="33">
        <f>K186-SUM(J186,L186,M186)</f>
        <v>1450.46487360076</v>
      </c>
      <c r="R186" s="33">
        <f>IF(P186&gt;0,MIN(MAX(0,P186-N185),MAX(0,O185)),0)</f>
        <v>0</v>
      </c>
      <c r="S186" s="2">
        <f>IF(P186&gt;0,MAX(0,P186-N185-O185),0)</f>
        <v>0</v>
      </c>
    </row>
    <row r="187" ht="27" customHeight="1">
      <c r="A187" s="3" t="n"/>
      <c r="B187" s="3" t="n">
        <v>48</v>
      </c>
      <c r="C187" s="3">
        <f>IF(B187&gt;='Your paths'!E61,1,0)</f>
        <v>1</v>
      </c>
      <c r="D187" s="33">
        <f>IF(C187=1,0,'Your paths'!E37*(1+'Your paths'!$C$20)^INT((B187-1)/12))</f>
        <v>0</v>
      </c>
      <c r="E187" s="33">
        <f>IF(AND(B187='Your paths'!E61,'Your paths'!E36&lt;&gt;"Rent"),'Your paths'!E63,H186)</f>
        <v>321349.746025108</v>
      </c>
      <c r="F187" s="33">
        <f>IF(C187=1,MIN('Your paths'!E64,E187*(1+'Your paths'!E62)),0)</f>
        <v>1859.66912639924</v>
      </c>
      <c r="G187" s="33">
        <f>E187*'Your paths'!E62</f>
        <v>1193.9170017664</v>
      </c>
      <c r="H187" s="33">
        <f>MAX(0,E187+G187-F187)</f>
        <v>320683.993900475</v>
      </c>
      <c r="I187" s="33">
        <f>IF(C187=0,0,IF(AND(B187='Your paths'!E61,'Your paths'!E36&lt;&gt;"Rent"),'Your paths'!E41,I186)*(1+'Your paths'!$C$31)^(1/12))</f>
        <v>436968.000000001</v>
      </c>
      <c r="J187" s="33">
        <f>(D187+F187+IF(C187=1,('Your paths'!E45/12+'Your paths'!E46+'Your paths'!E47)*(1+'Your paths'!$C$21)^INT((B187-1)/12),0))*'Your paths'!$C$32</f>
        <v>2549.45432639924</v>
      </c>
      <c r="K187" s="33">
        <f>('Your paths'!$C$9+'Your paths'!E49)*(1+'Your paths'!$C$24)^INT((B187-1)/12)</f>
        <v>7428.456</v>
      </c>
      <c r="L187" s="33">
        <f>('Your paths'!$C$10+'Your paths'!E48)*(1+'Your paths'!$C$21)^INT((B187-1)/12)</f>
        <v>2228.5368</v>
      </c>
      <c r="M187" s="33">
        <f>IF('Your paths'!E39="",'Your paths'!$C$12,'Your paths'!E39)+IF(AND('Your paths'!E55="Yes",C187=1,B187&gt;='Your paths'!E57),'Your paths'!E56,0)</f>
        <v>1200</v>
      </c>
      <c r="N187" s="33">
        <f>N186+MAX(0,N186)*((1+'Your paths'!$C$29)^(1/12)-1)+Q187-P187+R187</f>
        <v>34546.9698118935</v>
      </c>
      <c r="O187" s="33">
        <f>(O186-R187)*(1+'Your paths'!$C$30)^(1/12)+M187</f>
        <v>155370.129932825</v>
      </c>
      <c r="P187" s="33">
        <f>IF(AND(B187='Your paths'!E61,'Your paths'!E36&lt;&gt;"Rent"),'Your paths'!E42+'Your paths'!E65+IF('Your paths'!E36="Rent then buy",'Your paths'!E38,0),0)</f>
        <v>0</v>
      </c>
      <c r="Q187" s="33">
        <f>K187-SUM(J187,L187,M187)</f>
        <v>1450.46487360076</v>
      </c>
      <c r="R187" s="33">
        <f>IF(P187&gt;0,MIN(MAX(0,P187-N186),MAX(0,O186)),0)</f>
        <v>0</v>
      </c>
      <c r="S187" s="2">
        <f>IF(P187&gt;0,MAX(0,P187-N186-O186),0)</f>
        <v>0</v>
      </c>
    </row>
    <row r="188" ht="27" customHeight="1">
      <c r="A188" s="3" t="n"/>
      <c r="B188" s="3" t="n">
        <v>49</v>
      </c>
      <c r="C188" s="3">
        <f>IF(B188&gt;='Your paths'!E61,1,0)</f>
        <v>1</v>
      </c>
      <c r="D188" s="33">
        <f>IF(C188=1,0,'Your paths'!E37*(1+'Your paths'!$C$20)^INT((B188-1)/12))</f>
        <v>0</v>
      </c>
      <c r="E188" s="33">
        <f>IF(AND(B188='Your paths'!E61,'Your paths'!E36&lt;&gt;"Rent"),'Your paths'!E63,H187)</f>
        <v>320683.993900475</v>
      </c>
      <c r="F188" s="33">
        <f>IF(C188=1,MIN('Your paths'!E64,E188*(1+'Your paths'!E62)),0)</f>
        <v>1859.66912639924</v>
      </c>
      <c r="G188" s="33">
        <f>E188*'Your paths'!E62</f>
        <v>1191.44351986579</v>
      </c>
      <c r="H188" s="33">
        <f>MAX(0,E188+G188-F188)</f>
        <v>320015.768293942</v>
      </c>
      <c r="I188" s="33">
        <f>IF(C188=0,0,IF(AND(B188='Your paths'!E61,'Your paths'!E36&lt;&gt;"Rent"),'Your paths'!E41,I187)*(1+'Your paths'!$C$31)^(1/12))</f>
        <v>437689.688178338</v>
      </c>
      <c r="J188" s="33">
        <f>(D188+F188+IF(C188=1,('Your paths'!E45/12+'Your paths'!E46+'Your paths'!E47)*(1+'Your paths'!$C$21)^INT((B188-1)/12),0))*'Your paths'!$C$32</f>
        <v>2563.25003039924</v>
      </c>
      <c r="K188" s="33">
        <f>('Your paths'!$C$9+'Your paths'!E49)*(1+'Your paths'!$C$24)^INT((B188-1)/12)</f>
        <v>7577.02512</v>
      </c>
      <c r="L188" s="33">
        <f>('Your paths'!$C$10+'Your paths'!E48)*(1+'Your paths'!$C$21)^INT((B188-1)/12)</f>
        <v>2273.107536</v>
      </c>
      <c r="M188" s="33">
        <f>IF('Your paths'!E39="",'Your paths'!$C$12,'Your paths'!E39)+IF(AND('Your paths'!E55="Yes",C188=1,B188&gt;='Your paths'!E57),'Your paths'!E56,0)</f>
        <v>1200</v>
      </c>
      <c r="N188" s="33">
        <f>N187+MAX(0,N187)*((1+'Your paths'!$C$29)^(1/12)-1)+Q188-P188+R188</f>
        <v>36144.6944948736</v>
      </c>
      <c r="O188" s="33">
        <f>(O187-R188)*(1+'Your paths'!$C$30)^(1/12)+M188</f>
        <v>157078.771308151</v>
      </c>
      <c r="P188" s="33">
        <f>IF(AND(B188='Your paths'!E61,'Your paths'!E36&lt;&gt;"Rent"),'Your paths'!E42+'Your paths'!E65+IF('Your paths'!E36="Rent then buy",'Your paths'!E38,0),0)</f>
        <v>0</v>
      </c>
      <c r="Q188" s="33">
        <f>K188-SUM(J188,L188,M188)</f>
        <v>1540.66755360076</v>
      </c>
      <c r="R188" s="33">
        <f>IF(P188&gt;0,MIN(MAX(0,P188-N187),MAX(0,O187)),0)</f>
        <v>0</v>
      </c>
      <c r="S188" s="2">
        <f>IF(P188&gt;0,MAX(0,P188-N187-O187),0)</f>
        <v>0</v>
      </c>
    </row>
    <row r="189" ht="27" customHeight="1">
      <c r="A189" s="3" t="n"/>
      <c r="B189" s="3" t="n">
        <v>50</v>
      </c>
      <c r="C189" s="3">
        <f>IF(B189&gt;='Your paths'!E61,1,0)</f>
        <v>1</v>
      </c>
      <c r="D189" s="33">
        <f>IF(C189=1,0,'Your paths'!E37*(1+'Your paths'!$C$20)^INT((B189-1)/12))</f>
        <v>0</v>
      </c>
      <c r="E189" s="33">
        <f>IF(AND(B189='Your paths'!E61,'Your paths'!E36&lt;&gt;"Rent"),'Your paths'!E63,H188)</f>
        <v>320015.768293942</v>
      </c>
      <c r="F189" s="33">
        <f>IF(C189=1,MIN('Your paths'!E64,E189*(1+'Your paths'!E62)),0)</f>
        <v>1859.66912639924</v>
      </c>
      <c r="G189" s="33">
        <f>E189*'Your paths'!E62</f>
        <v>1188.96084818945</v>
      </c>
      <c r="H189" s="33">
        <f>MAX(0,E189+G189-F189)</f>
        <v>319345.060015732</v>
      </c>
      <c r="I189" s="33">
        <f>IF(C189=0,0,IF(AND(B189='Your paths'!E61,'Your paths'!E36&lt;&gt;"Rent"),'Your paths'!E41,I188)*(1+'Your paths'!$C$31)^(1/12))</f>
        <v>438412.568283377</v>
      </c>
      <c r="J189" s="33">
        <f>(D189+F189+IF(C189=1,('Your paths'!E45/12+'Your paths'!E46+'Your paths'!E47)*(1+'Your paths'!$C$21)^INT((B189-1)/12),0))*'Your paths'!$C$32</f>
        <v>2563.25003039924</v>
      </c>
      <c r="K189" s="33">
        <f>('Your paths'!$C$9+'Your paths'!E49)*(1+'Your paths'!$C$24)^INT((B189-1)/12)</f>
        <v>7577.02512</v>
      </c>
      <c r="L189" s="33">
        <f>('Your paths'!$C$10+'Your paths'!E48)*(1+'Your paths'!$C$21)^INT((B189-1)/12)</f>
        <v>2273.107536</v>
      </c>
      <c r="M189" s="33">
        <f>IF('Your paths'!E39="",'Your paths'!$C$12,'Your paths'!E39)+IF(AND('Your paths'!E55="Yes",C189=1,B189&gt;='Your paths'!E57),'Your paths'!E56,0)</f>
        <v>1200</v>
      </c>
      <c r="N189" s="33">
        <f>N188+MAX(0,N188)*((1+'Your paths'!$C$29)^(1/12)-1)+Q189-P189+R189</f>
        <v>37745.0579500657</v>
      </c>
      <c r="O189" s="33">
        <f>(O188-R189)*(1+'Your paths'!$C$30)^(1/12)+M189</f>
        <v>158793.006330722</v>
      </c>
      <c r="P189" s="33">
        <f>IF(AND(B189='Your paths'!E61,'Your paths'!E36&lt;&gt;"Rent"),'Your paths'!E42+'Your paths'!E65+IF('Your paths'!E36="Rent then buy",'Your paths'!E38,0),0)</f>
        <v>0</v>
      </c>
      <c r="Q189" s="33">
        <f>K189-SUM(J189,L189,M189)</f>
        <v>1540.66755360076</v>
      </c>
      <c r="R189" s="33">
        <f>IF(P189&gt;0,MIN(MAX(0,P189-N188),MAX(0,O188)),0)</f>
        <v>0</v>
      </c>
      <c r="S189" s="2">
        <f>IF(P189&gt;0,MAX(0,P189-N188-O188),0)</f>
        <v>0</v>
      </c>
    </row>
    <row r="190" ht="27" customHeight="1">
      <c r="A190" s="3" t="n"/>
      <c r="B190" s="3" t="n">
        <v>51</v>
      </c>
      <c r="C190" s="3">
        <f>IF(B190&gt;='Your paths'!E61,1,0)</f>
        <v>1</v>
      </c>
      <c r="D190" s="33">
        <f>IF(C190=1,0,'Your paths'!E37*(1+'Your paths'!$C$20)^INT((B190-1)/12))</f>
        <v>0</v>
      </c>
      <c r="E190" s="33">
        <f>IF(AND(B190='Your paths'!E61,'Your paths'!E36&lt;&gt;"Rent"),'Your paths'!E63,H189)</f>
        <v>319345.060015732</v>
      </c>
      <c r="F190" s="33">
        <f>IF(C190=1,MIN('Your paths'!E64,E190*(1+'Your paths'!E62)),0)</f>
        <v>1859.66912639924</v>
      </c>
      <c r="G190" s="33">
        <f>E190*'Your paths'!E62</f>
        <v>1186.46895259443</v>
      </c>
      <c r="H190" s="33">
        <f>MAX(0,E190+G190-F190)</f>
        <v>318671.859841927</v>
      </c>
      <c r="I190" s="33">
        <f>IF(C190=0,0,IF(AND(B190='Your paths'!E61,'Your paths'!E36&lt;&gt;"Rent"),'Your paths'!E41,I189)*(1+'Your paths'!$C$31)^(1/12))</f>
        <v>439136.64228368</v>
      </c>
      <c r="J190" s="33">
        <f>(D190+F190+IF(C190=1,('Your paths'!E45/12+'Your paths'!E46+'Your paths'!E47)*(1+'Your paths'!$C$21)^INT((B190-1)/12),0))*'Your paths'!$C$32</f>
        <v>2563.25003039924</v>
      </c>
      <c r="K190" s="33">
        <f>('Your paths'!$C$9+'Your paths'!E49)*(1+'Your paths'!$C$24)^INT((B190-1)/12)</f>
        <v>7577.02512</v>
      </c>
      <c r="L190" s="33">
        <f>('Your paths'!$C$10+'Your paths'!E48)*(1+'Your paths'!$C$21)^INT((B190-1)/12)</f>
        <v>2273.107536</v>
      </c>
      <c r="M190" s="33">
        <f>IF('Your paths'!E39="",'Your paths'!$C$12,'Your paths'!E39)+IF(AND('Your paths'!E55="Yes",C190=1,B190&gt;='Your paths'!E57),'Your paths'!E56,0)</f>
        <v>1200</v>
      </c>
      <c r="N190" s="33">
        <f>N189+MAX(0,N189)*((1+'Your paths'!$C$29)^(1/12)-1)+Q190-P190+R190</f>
        <v>39348.0645356167</v>
      </c>
      <c r="O190" s="33">
        <f>(O189-R190)*(1+'Your paths'!$C$30)^(1/12)+M190</f>
        <v>160512.853312682</v>
      </c>
      <c r="P190" s="33">
        <f>IF(AND(B190='Your paths'!E61,'Your paths'!E36&lt;&gt;"Rent"),'Your paths'!E42+'Your paths'!E65+IF('Your paths'!E36="Rent then buy",'Your paths'!E38,0),0)</f>
        <v>0</v>
      </c>
      <c r="Q190" s="33">
        <f>K190-SUM(J190,L190,M190)</f>
        <v>1540.66755360076</v>
      </c>
      <c r="R190" s="33">
        <f>IF(P190&gt;0,MIN(MAX(0,P190-N189),MAX(0,O189)),0)</f>
        <v>0</v>
      </c>
      <c r="S190" s="2">
        <f>IF(P190&gt;0,MAX(0,P190-N189-O189),0)</f>
        <v>0</v>
      </c>
    </row>
    <row r="191" ht="27" customHeight="1">
      <c r="A191" s="3" t="n"/>
      <c r="B191" s="3" t="n">
        <v>52</v>
      </c>
      <c r="C191" s="3">
        <f>IF(B191&gt;='Your paths'!E61,1,0)</f>
        <v>1</v>
      </c>
      <c r="D191" s="33">
        <f>IF(C191=1,0,'Your paths'!E37*(1+'Your paths'!$C$20)^INT((B191-1)/12))</f>
        <v>0</v>
      </c>
      <c r="E191" s="33">
        <f>IF(AND(B191='Your paths'!E61,'Your paths'!E36&lt;&gt;"Rent"),'Your paths'!E63,H190)</f>
        <v>318671.859841927</v>
      </c>
      <c r="F191" s="33">
        <f>IF(C191=1,MIN('Your paths'!E64,E191*(1+'Your paths'!E62)),0)</f>
        <v>1859.66912639924</v>
      </c>
      <c r="G191" s="33">
        <f>E191*'Your paths'!E62</f>
        <v>1183.96779881093</v>
      </c>
      <c r="H191" s="33">
        <f>MAX(0,E191+G191-F191)</f>
        <v>317996.158514339</v>
      </c>
      <c r="I191" s="33">
        <f>IF(C191=0,0,IF(AND(B191='Your paths'!E61,'Your paths'!E36&lt;&gt;"Rent"),'Your paths'!E41,I190)*(1+'Your paths'!$C$31)^(1/12))</f>
        <v>439861.912151064</v>
      </c>
      <c r="J191" s="33">
        <f>(D191+F191+IF(C191=1,('Your paths'!E45/12+'Your paths'!E46+'Your paths'!E47)*(1+'Your paths'!$C$21)^INT((B191-1)/12),0))*'Your paths'!$C$32</f>
        <v>2563.25003039924</v>
      </c>
      <c r="K191" s="33">
        <f>('Your paths'!$C$9+'Your paths'!E49)*(1+'Your paths'!$C$24)^INT((B191-1)/12)</f>
        <v>7577.02512</v>
      </c>
      <c r="L191" s="33">
        <f>('Your paths'!$C$10+'Your paths'!E48)*(1+'Your paths'!$C$21)^INT((B191-1)/12)</f>
        <v>2273.107536</v>
      </c>
      <c r="M191" s="33">
        <f>IF('Your paths'!E39="",'Your paths'!$C$12,'Your paths'!E39)+IF(AND('Your paths'!E55="Yes",C191=1,B191&gt;='Your paths'!E57),'Your paths'!E56,0)</f>
        <v>1200</v>
      </c>
      <c r="N191" s="33">
        <f>N190+MAX(0,N190)*((1+'Your paths'!$C$29)^(1/12)-1)+Q191-P191+R191</f>
        <v>40953.7186168713</v>
      </c>
      <c r="O191" s="33">
        <f>(O190-R191)*(1+'Your paths'!$C$30)^(1/12)+M191</f>
        <v>162238.330626126</v>
      </c>
      <c r="P191" s="33">
        <f>IF(AND(B191='Your paths'!E61,'Your paths'!E36&lt;&gt;"Rent"),'Your paths'!E42+'Your paths'!E65+IF('Your paths'!E36="Rent then buy",'Your paths'!E38,0),0)</f>
        <v>0</v>
      </c>
      <c r="Q191" s="33">
        <f>K191-SUM(J191,L191,M191)</f>
        <v>1540.66755360076</v>
      </c>
      <c r="R191" s="33">
        <f>IF(P191&gt;0,MIN(MAX(0,P191-N190),MAX(0,O190)),0)</f>
        <v>0</v>
      </c>
      <c r="S191" s="2">
        <f>IF(P191&gt;0,MAX(0,P191-N190-O190),0)</f>
        <v>0</v>
      </c>
    </row>
    <row r="192" ht="27" customHeight="1">
      <c r="A192" s="3" t="n"/>
      <c r="B192" s="3" t="n">
        <v>53</v>
      </c>
      <c r="C192" s="3">
        <f>IF(B192&gt;='Your paths'!E61,1,0)</f>
        <v>1</v>
      </c>
      <c r="D192" s="33">
        <f>IF(C192=1,0,'Your paths'!E37*(1+'Your paths'!$C$20)^INT((B192-1)/12))</f>
        <v>0</v>
      </c>
      <c r="E192" s="33">
        <f>IF(AND(B192='Your paths'!E61,'Your paths'!E36&lt;&gt;"Rent"),'Your paths'!E63,H191)</f>
        <v>317996.158514339</v>
      </c>
      <c r="F192" s="33">
        <f>IF(C192=1,MIN('Your paths'!E64,E192*(1+'Your paths'!E62)),0)</f>
        <v>1859.66912639924</v>
      </c>
      <c r="G192" s="33">
        <f>E192*'Your paths'!E62</f>
        <v>1181.45735244181</v>
      </c>
      <c r="H192" s="33">
        <f>MAX(0,E192+G192-F192)</f>
        <v>317317.946740381</v>
      </c>
      <c r="I192" s="33">
        <f>IF(C192=0,0,IF(AND(B192='Your paths'!E61,'Your paths'!E36&lt;&gt;"Rent"),'Your paths'!E41,I191)*(1+'Your paths'!$C$31)^(1/12))</f>
        <v>440588.3798606</v>
      </c>
      <c r="J192" s="33">
        <f>(D192+F192+IF(C192=1,('Your paths'!E45/12+'Your paths'!E46+'Your paths'!E47)*(1+'Your paths'!$C$21)^INT((B192-1)/12),0))*'Your paths'!$C$32</f>
        <v>2563.25003039924</v>
      </c>
      <c r="K192" s="33">
        <f>('Your paths'!$C$9+'Your paths'!E49)*(1+'Your paths'!$C$24)^INT((B192-1)/12)</f>
        <v>7577.02512</v>
      </c>
      <c r="L192" s="33">
        <f>('Your paths'!$C$10+'Your paths'!E48)*(1+'Your paths'!$C$21)^INT((B192-1)/12)</f>
        <v>2273.107536</v>
      </c>
      <c r="M192" s="33">
        <f>IF('Your paths'!E39="",'Your paths'!$C$12,'Your paths'!E39)+IF(AND('Your paths'!E55="Yes",C192=1,B192&gt;='Your paths'!E57),'Your paths'!E56,0)</f>
        <v>1200</v>
      </c>
      <c r="N192" s="33">
        <f>N191+MAX(0,N191)*((1+'Your paths'!$C$29)^(1/12)-1)+Q192-P192+R192</f>
        <v>42562.0245663838</v>
      </c>
      <c r="O192" s="33">
        <f>(O191-R192)*(1+'Your paths'!$C$30)^(1/12)+M192</f>
        <v>163969.456703294</v>
      </c>
      <c r="P192" s="33">
        <f>IF(AND(B192='Your paths'!E61,'Your paths'!E36&lt;&gt;"Rent"),'Your paths'!E42+'Your paths'!E65+IF('Your paths'!E36="Rent then buy",'Your paths'!E38,0),0)</f>
        <v>0</v>
      </c>
      <c r="Q192" s="33">
        <f>K192-SUM(J192,L192,M192)</f>
        <v>1540.66755360076</v>
      </c>
      <c r="R192" s="33">
        <f>IF(P192&gt;0,MIN(MAX(0,P192-N191),MAX(0,O191)),0)</f>
        <v>0</v>
      </c>
      <c r="S192" s="2">
        <f>IF(P192&gt;0,MAX(0,P192-N191-O191),0)</f>
        <v>0</v>
      </c>
    </row>
    <row r="193" ht="27" customHeight="1">
      <c r="A193" s="3" t="n"/>
      <c r="B193" s="3" t="n">
        <v>54</v>
      </c>
      <c r="C193" s="3">
        <f>IF(B193&gt;='Your paths'!E61,1,0)</f>
        <v>1</v>
      </c>
      <c r="D193" s="33">
        <f>IF(C193=1,0,'Your paths'!E37*(1+'Your paths'!$C$20)^INT((B193-1)/12))</f>
        <v>0</v>
      </c>
      <c r="E193" s="33">
        <f>IF(AND(B193='Your paths'!E61,'Your paths'!E36&lt;&gt;"Rent"),'Your paths'!E63,H192)</f>
        <v>317317.946740381</v>
      </c>
      <c r="F193" s="33">
        <f>IF(C193=1,MIN('Your paths'!E64,E193*(1+'Your paths'!E62)),0)</f>
        <v>1859.66912639924</v>
      </c>
      <c r="G193" s="33">
        <f>E193*'Your paths'!E62</f>
        <v>1178.93757896217</v>
      </c>
      <c r="H193" s="33">
        <f>MAX(0,E193+G193-F193)</f>
        <v>316637.215192944</v>
      </c>
      <c r="I193" s="33">
        <f>IF(C193=0,0,IF(AND(B193='Your paths'!E61,'Your paths'!E36&lt;&gt;"Rent"),'Your paths'!E41,I192)*(1+'Your paths'!$C$31)^(1/12))</f>
        <v>441316.047390621</v>
      </c>
      <c r="J193" s="33">
        <f>(D193+F193+IF(C193=1,('Your paths'!E45/12+'Your paths'!E46+'Your paths'!E47)*(1+'Your paths'!$C$21)^INT((B193-1)/12),0))*'Your paths'!$C$32</f>
        <v>2563.25003039924</v>
      </c>
      <c r="K193" s="33">
        <f>('Your paths'!$C$9+'Your paths'!E49)*(1+'Your paths'!$C$24)^INT((B193-1)/12)</f>
        <v>7577.02512</v>
      </c>
      <c r="L193" s="33">
        <f>('Your paths'!$C$10+'Your paths'!E48)*(1+'Your paths'!$C$21)^INT((B193-1)/12)</f>
        <v>2273.107536</v>
      </c>
      <c r="M193" s="33">
        <f>IF('Your paths'!E39="",'Your paths'!$C$12,'Your paths'!E39)+IF(AND('Your paths'!E55="Yes",C193=1,B193&gt;='Your paths'!E57),'Your paths'!E56,0)</f>
        <v>1200</v>
      </c>
      <c r="N193" s="33">
        <f>N192+MAX(0,N192)*((1+'Your paths'!$C$29)^(1/12)-1)+Q193-P193+R193</f>
        <v>44172.9867639302</v>
      </c>
      <c r="O193" s="33">
        <f>(O192-R193)*(1+'Your paths'!$C$30)^(1/12)+M193</f>
        <v>165706.250036769</v>
      </c>
      <c r="P193" s="33">
        <f>IF(AND(B193='Your paths'!E61,'Your paths'!E36&lt;&gt;"Rent"),'Your paths'!E42+'Your paths'!E65+IF('Your paths'!E36="Rent then buy",'Your paths'!E38,0),0)</f>
        <v>0</v>
      </c>
      <c r="Q193" s="33">
        <f>K193-SUM(J193,L193,M193)</f>
        <v>1540.66755360076</v>
      </c>
      <c r="R193" s="33">
        <f>IF(P193&gt;0,MIN(MAX(0,P193-N192),MAX(0,O192)),0)</f>
        <v>0</v>
      </c>
      <c r="S193" s="2">
        <f>IF(P193&gt;0,MAX(0,P193-N192-O192),0)</f>
        <v>0</v>
      </c>
    </row>
    <row r="194" ht="27" customHeight="1">
      <c r="A194" s="3" t="n"/>
      <c r="B194" s="3" t="n">
        <v>55</v>
      </c>
      <c r="C194" s="3">
        <f>IF(B194&gt;='Your paths'!E61,1,0)</f>
        <v>1</v>
      </c>
      <c r="D194" s="33">
        <f>IF(C194=1,0,'Your paths'!E37*(1+'Your paths'!$C$20)^INT((B194-1)/12))</f>
        <v>0</v>
      </c>
      <c r="E194" s="33">
        <f>IF(AND(B194='Your paths'!E61,'Your paths'!E36&lt;&gt;"Rent"),'Your paths'!E63,H193)</f>
        <v>316637.215192944</v>
      </c>
      <c r="F194" s="33">
        <f>IF(C194=1,MIN('Your paths'!E64,E194*(1+'Your paths'!E62)),0)</f>
        <v>1859.66912639924</v>
      </c>
      <c r="G194" s="33">
        <f>E194*'Your paths'!E62</f>
        <v>1176.40844371878</v>
      </c>
      <c r="H194" s="33">
        <f>MAX(0,E194+G194-F194)</f>
        <v>315953.954510264</v>
      </c>
      <c r="I194" s="33">
        <f>IF(C194=0,0,IF(AND(B194='Your paths'!E61,'Your paths'!E36&lt;&gt;"Rent"),'Your paths'!E41,I193)*(1+'Your paths'!$C$31)^(1/12))</f>
        <v>442044.916722729</v>
      </c>
      <c r="J194" s="33">
        <f>(D194+F194+IF(C194=1,('Your paths'!E45/12+'Your paths'!E46+'Your paths'!E47)*(1+'Your paths'!$C$21)^INT((B194-1)/12),0))*'Your paths'!$C$32</f>
        <v>2563.25003039924</v>
      </c>
      <c r="K194" s="33">
        <f>('Your paths'!$C$9+'Your paths'!E49)*(1+'Your paths'!$C$24)^INT((B194-1)/12)</f>
        <v>7577.02512</v>
      </c>
      <c r="L194" s="33">
        <f>('Your paths'!$C$10+'Your paths'!E48)*(1+'Your paths'!$C$21)^INT((B194-1)/12)</f>
        <v>2273.107536</v>
      </c>
      <c r="M194" s="33">
        <f>IF('Your paths'!E39="",'Your paths'!$C$12,'Your paths'!E39)+IF(AND('Your paths'!E55="Yes",C194=1,B194&gt;='Your paths'!E57),'Your paths'!E56,0)</f>
        <v>1200</v>
      </c>
      <c r="N194" s="33">
        <f>N193+MAX(0,N193)*((1+'Your paths'!$C$29)^(1/12)-1)+Q194-P194+R194</f>
        <v>45786.6095965203</v>
      </c>
      <c r="O194" s="33">
        <f>(O193-R194)*(1+'Your paths'!$C$30)^(1/12)+M194</f>
        <v>167448.729179673</v>
      </c>
      <c r="P194" s="33">
        <f>IF(AND(B194='Your paths'!E61,'Your paths'!E36&lt;&gt;"Rent"),'Your paths'!E42+'Your paths'!E65+IF('Your paths'!E36="Rent then buy",'Your paths'!E38,0),0)</f>
        <v>0</v>
      </c>
      <c r="Q194" s="33">
        <f>K194-SUM(J194,L194,M194)</f>
        <v>1540.66755360076</v>
      </c>
      <c r="R194" s="33">
        <f>IF(P194&gt;0,MIN(MAX(0,P194-N193),MAX(0,O193)),0)</f>
        <v>0</v>
      </c>
      <c r="S194" s="2">
        <f>IF(P194&gt;0,MAX(0,P194-N193-O193),0)</f>
        <v>0</v>
      </c>
    </row>
    <row r="195" ht="27" customHeight="1">
      <c r="A195" s="3" t="n"/>
      <c r="B195" s="3" t="n">
        <v>56</v>
      </c>
      <c r="C195" s="3">
        <f>IF(B195&gt;='Your paths'!E61,1,0)</f>
        <v>1</v>
      </c>
      <c r="D195" s="33">
        <f>IF(C195=1,0,'Your paths'!E37*(1+'Your paths'!$C$20)^INT((B195-1)/12))</f>
        <v>0</v>
      </c>
      <c r="E195" s="33">
        <f>IF(AND(B195='Your paths'!E61,'Your paths'!E36&lt;&gt;"Rent"),'Your paths'!E63,H194)</f>
        <v>315953.954510264</v>
      </c>
      <c r="F195" s="33">
        <f>IF(C195=1,MIN('Your paths'!E64,E195*(1+'Your paths'!E62)),0)</f>
        <v>1859.66912639924</v>
      </c>
      <c r="G195" s="33">
        <f>E195*'Your paths'!E62</f>
        <v>1173.86991192972</v>
      </c>
      <c r="H195" s="33">
        <f>MAX(0,E195+G195-F195)</f>
        <v>315268.155295794</v>
      </c>
      <c r="I195" s="33">
        <f>IF(C195=0,0,IF(AND(B195='Your paths'!E61,'Your paths'!E36&lt;&gt;"Rent"),'Your paths'!E41,I194)*(1+'Your paths'!$C$31)^(1/12))</f>
        <v>442774.989841797</v>
      </c>
      <c r="J195" s="33">
        <f>(D195+F195+IF(C195=1,('Your paths'!E45/12+'Your paths'!E46+'Your paths'!E47)*(1+'Your paths'!$C$21)^INT((B195-1)/12),0))*'Your paths'!$C$32</f>
        <v>2563.25003039924</v>
      </c>
      <c r="K195" s="33">
        <f>('Your paths'!$C$9+'Your paths'!E49)*(1+'Your paths'!$C$24)^INT((B195-1)/12)</f>
        <v>7577.02512</v>
      </c>
      <c r="L195" s="33">
        <f>('Your paths'!$C$10+'Your paths'!E48)*(1+'Your paths'!$C$21)^INT((B195-1)/12)</f>
        <v>2273.107536</v>
      </c>
      <c r="M195" s="33">
        <f>IF('Your paths'!E39="",'Your paths'!$C$12,'Your paths'!E39)+IF(AND('Your paths'!E55="Yes",C195=1,B195&gt;='Your paths'!E57),'Your paths'!E56,0)</f>
        <v>1200</v>
      </c>
      <c r="N195" s="33">
        <f>N194+MAX(0,N194)*((1+'Your paths'!$C$29)^(1/12)-1)+Q195-P195+R195</f>
        <v>47402.897458409</v>
      </c>
      <c r="O195" s="33">
        <f>(O194-R195)*(1+'Your paths'!$C$30)^(1/12)+M195</f>
        <v>169196.912745867</v>
      </c>
      <c r="P195" s="33">
        <f>IF(AND(B195='Your paths'!E61,'Your paths'!E36&lt;&gt;"Rent"),'Your paths'!E42+'Your paths'!E65+IF('Your paths'!E36="Rent then buy",'Your paths'!E38,0),0)</f>
        <v>0</v>
      </c>
      <c r="Q195" s="33">
        <f>K195-SUM(J195,L195,M195)</f>
        <v>1540.66755360076</v>
      </c>
      <c r="R195" s="33">
        <f>IF(P195&gt;0,MIN(MAX(0,P195-N194),MAX(0,O194)),0)</f>
        <v>0</v>
      </c>
      <c r="S195" s="2">
        <f>IF(P195&gt;0,MAX(0,P195-N194-O194),0)</f>
        <v>0</v>
      </c>
    </row>
    <row r="196" ht="27" customHeight="1">
      <c r="A196" s="3" t="n"/>
      <c r="B196" s="3" t="n">
        <v>57</v>
      </c>
      <c r="C196" s="3">
        <f>IF(B196&gt;='Your paths'!E61,1,0)</f>
        <v>1</v>
      </c>
      <c r="D196" s="33">
        <f>IF(C196=1,0,'Your paths'!E37*(1+'Your paths'!$C$20)^INT((B196-1)/12))</f>
        <v>0</v>
      </c>
      <c r="E196" s="33">
        <f>IF(AND(B196='Your paths'!E61,'Your paths'!E36&lt;&gt;"Rent"),'Your paths'!E63,H195)</f>
        <v>315268.155295794</v>
      </c>
      <c r="F196" s="33">
        <f>IF(C196=1,MIN('Your paths'!E64,E196*(1+'Your paths'!E62)),0)</f>
        <v>1859.66912639924</v>
      </c>
      <c r="G196" s="33">
        <f>E196*'Your paths'!E62</f>
        <v>1171.32194868382</v>
      </c>
      <c r="H196" s="33">
        <f>MAX(0,E196+G196-F196)</f>
        <v>314579.808118079</v>
      </c>
      <c r="I196" s="33">
        <f>IF(C196=0,0,IF(AND(B196='Your paths'!E61,'Your paths'!E36&lt;&gt;"Rent"),'Your paths'!E41,I195)*(1+'Your paths'!$C$31)^(1/12))</f>
        <v>443506.268735977</v>
      </c>
      <c r="J196" s="33">
        <f>(D196+F196+IF(C196=1,('Your paths'!E45/12+'Your paths'!E46+'Your paths'!E47)*(1+'Your paths'!$C$21)^INT((B196-1)/12),0))*'Your paths'!$C$32</f>
        <v>2563.25003039924</v>
      </c>
      <c r="K196" s="33">
        <f>('Your paths'!$C$9+'Your paths'!E49)*(1+'Your paths'!$C$24)^INT((B196-1)/12)</f>
        <v>7577.02512</v>
      </c>
      <c r="L196" s="33">
        <f>('Your paths'!$C$10+'Your paths'!E48)*(1+'Your paths'!$C$21)^INT((B196-1)/12)</f>
        <v>2273.107536</v>
      </c>
      <c r="M196" s="33">
        <f>IF('Your paths'!E39="",'Your paths'!$C$12,'Your paths'!E39)+IF(AND('Your paths'!E55="Yes",C196=1,B196&gt;='Your paths'!E57),'Your paths'!E56,0)</f>
        <v>1200</v>
      </c>
      <c r="N196" s="33">
        <f>N195+MAX(0,N195)*((1+'Your paths'!$C$29)^(1/12)-1)+Q196-P196+R196</f>
        <v>49021.8547511089</v>
      </c>
      <c r="O196" s="33">
        <f>(O195-R196)*(1+'Your paths'!$C$30)^(1/12)+M196</f>
        <v>170950.819410149</v>
      </c>
      <c r="P196" s="33">
        <f>IF(AND(B196='Your paths'!E61,'Your paths'!E36&lt;&gt;"Rent"),'Your paths'!E42+'Your paths'!E65+IF('Your paths'!E36="Rent then buy",'Your paths'!E38,0),0)</f>
        <v>0</v>
      </c>
      <c r="Q196" s="33">
        <f>K196-SUM(J196,L196,M196)</f>
        <v>1540.66755360076</v>
      </c>
      <c r="R196" s="33">
        <f>IF(P196&gt;0,MIN(MAX(0,P196-N195),MAX(0,O195)),0)</f>
        <v>0</v>
      </c>
      <c r="S196" s="2">
        <f>IF(P196&gt;0,MAX(0,P196-N195-O195),0)</f>
        <v>0</v>
      </c>
    </row>
    <row r="197" ht="27" customHeight="1">
      <c r="A197" s="3" t="n"/>
      <c r="B197" s="3" t="n">
        <v>58</v>
      </c>
      <c r="C197" s="3">
        <f>IF(B197&gt;='Your paths'!E61,1,0)</f>
        <v>1</v>
      </c>
      <c r="D197" s="33">
        <f>IF(C197=1,0,'Your paths'!E37*(1+'Your paths'!$C$20)^INT((B197-1)/12))</f>
        <v>0</v>
      </c>
      <c r="E197" s="33">
        <f>IF(AND(B197='Your paths'!E61,'Your paths'!E36&lt;&gt;"Rent"),'Your paths'!E63,H196)</f>
        <v>314579.808118079</v>
      </c>
      <c r="F197" s="33">
        <f>IF(C197=1,MIN('Your paths'!E64,E197*(1+'Your paths'!E62)),0)</f>
        <v>1859.66912639924</v>
      </c>
      <c r="G197" s="33">
        <f>E197*'Your paths'!E62</f>
        <v>1168.76451894019</v>
      </c>
      <c r="H197" s="33">
        <f>MAX(0,E197+G197-F197)</f>
        <v>313888.903510619</v>
      </c>
      <c r="I197" s="33">
        <f>IF(C197=0,0,IF(AND(B197='Your paths'!E61,'Your paths'!E36&lt;&gt;"Rent"),'Your paths'!E41,I196)*(1+'Your paths'!$C$31)^(1/12))</f>
        <v>444238.755396706</v>
      </c>
      <c r="J197" s="33">
        <f>(D197+F197+IF(C197=1,('Your paths'!E45/12+'Your paths'!E46+'Your paths'!E47)*(1+'Your paths'!$C$21)^INT((B197-1)/12),0))*'Your paths'!$C$32</f>
        <v>2563.25003039924</v>
      </c>
      <c r="K197" s="33">
        <f>('Your paths'!$C$9+'Your paths'!E49)*(1+'Your paths'!$C$24)^INT((B197-1)/12)</f>
        <v>7577.02512</v>
      </c>
      <c r="L197" s="33">
        <f>('Your paths'!$C$10+'Your paths'!E48)*(1+'Your paths'!$C$21)^INT((B197-1)/12)</f>
        <v>2273.107536</v>
      </c>
      <c r="M197" s="33">
        <f>IF('Your paths'!E39="",'Your paths'!$C$12,'Your paths'!E39)+IF(AND('Your paths'!E55="Yes",C197=1,B197&gt;='Your paths'!E57),'Your paths'!E56,0)</f>
        <v>1200</v>
      </c>
      <c r="N197" s="33">
        <f>N196+MAX(0,N196)*((1+'Your paths'!$C$29)^(1/12)-1)+Q197-P197+R197</f>
        <v>50643.485883402</v>
      </c>
      <c r="O197" s="33">
        <f>(O196-R197)*(1+'Your paths'!$C$30)^(1/12)+M197</f>
        <v>172710.467908451</v>
      </c>
      <c r="P197" s="33">
        <f>IF(AND(B197='Your paths'!E61,'Your paths'!E36&lt;&gt;"Rent"),'Your paths'!E42+'Your paths'!E65+IF('Your paths'!E36="Rent then buy",'Your paths'!E38,0),0)</f>
        <v>0</v>
      </c>
      <c r="Q197" s="33">
        <f>K197-SUM(J197,L197,M197)</f>
        <v>1540.66755360076</v>
      </c>
      <c r="R197" s="33">
        <f>IF(P197&gt;0,MIN(MAX(0,P197-N196),MAX(0,O196)),0)</f>
        <v>0</v>
      </c>
      <c r="S197" s="2">
        <f>IF(P197&gt;0,MAX(0,P197-N196-O196),0)</f>
        <v>0</v>
      </c>
    </row>
    <row r="198" ht="27" customHeight="1">
      <c r="A198" s="3" t="n"/>
      <c r="B198" s="3" t="n">
        <v>59</v>
      </c>
      <c r="C198" s="3">
        <f>IF(B198&gt;='Your paths'!E61,1,0)</f>
        <v>1</v>
      </c>
      <c r="D198" s="33">
        <f>IF(C198=1,0,'Your paths'!E37*(1+'Your paths'!$C$20)^INT((B198-1)/12))</f>
        <v>0</v>
      </c>
      <c r="E198" s="33">
        <f>IF(AND(B198='Your paths'!E61,'Your paths'!E36&lt;&gt;"Rent"),'Your paths'!E63,H197)</f>
        <v>313888.903510619</v>
      </c>
      <c r="F198" s="33">
        <f>IF(C198=1,MIN('Your paths'!E64,E198*(1+'Your paths'!E62)),0)</f>
        <v>1859.66912639924</v>
      </c>
      <c r="G198" s="33">
        <f>E198*'Your paths'!E62</f>
        <v>1166.19758752777</v>
      </c>
      <c r="H198" s="33">
        <f>MAX(0,E198+G198-F198)</f>
        <v>313195.431971748</v>
      </c>
      <c r="I198" s="33">
        <f>IF(C198=0,0,IF(AND(B198='Your paths'!E61,'Your paths'!E36&lt;&gt;"Rent"),'Your paths'!E41,I197)*(1+'Your paths'!$C$31)^(1/12))</f>
        <v>444972.451818708</v>
      </c>
      <c r="J198" s="33">
        <f>(D198+F198+IF(C198=1,('Your paths'!E45/12+'Your paths'!E46+'Your paths'!E47)*(1+'Your paths'!$C$21)^INT((B198-1)/12),0))*'Your paths'!$C$32</f>
        <v>2563.25003039924</v>
      </c>
      <c r="K198" s="33">
        <f>('Your paths'!$C$9+'Your paths'!E49)*(1+'Your paths'!$C$24)^INT((B198-1)/12)</f>
        <v>7577.02512</v>
      </c>
      <c r="L198" s="33">
        <f>('Your paths'!$C$10+'Your paths'!E48)*(1+'Your paths'!$C$21)^INT((B198-1)/12)</f>
        <v>2273.107536</v>
      </c>
      <c r="M198" s="33">
        <f>IF('Your paths'!E39="",'Your paths'!$C$12,'Your paths'!E39)+IF(AND('Your paths'!E55="Yes",C198=1,B198&gt;='Your paths'!E57),'Your paths'!E56,0)</f>
        <v>1200</v>
      </c>
      <c r="N198" s="33">
        <f>N197+MAX(0,N197)*((1+'Your paths'!$C$29)^(1/12)-1)+Q198-P198+R198</f>
        <v>52267.7952713519</v>
      </c>
      <c r="O198" s="33">
        <f>(O197-R198)*(1+'Your paths'!$C$30)^(1/12)+M198</f>
        <v>174475.877038045</v>
      </c>
      <c r="P198" s="33">
        <f>IF(AND(B198='Your paths'!E61,'Your paths'!E36&lt;&gt;"Rent"),'Your paths'!E42+'Your paths'!E65+IF('Your paths'!E36="Rent then buy",'Your paths'!E38,0),0)</f>
        <v>0</v>
      </c>
      <c r="Q198" s="33">
        <f>K198-SUM(J198,L198,M198)</f>
        <v>1540.66755360076</v>
      </c>
      <c r="R198" s="33">
        <f>IF(P198&gt;0,MIN(MAX(0,P198-N197),MAX(0,O197)),0)</f>
        <v>0</v>
      </c>
      <c r="S198" s="2">
        <f>IF(P198&gt;0,MAX(0,P198-N197-O197),0)</f>
        <v>0</v>
      </c>
    </row>
    <row r="199" ht="27" customHeight="1">
      <c r="A199" s="3" t="n"/>
      <c r="B199" s="3" t="n">
        <v>60</v>
      </c>
      <c r="C199" s="3">
        <f>IF(B199&gt;='Your paths'!E61,1,0)</f>
        <v>1</v>
      </c>
      <c r="D199" s="33">
        <f>IF(C199=1,0,'Your paths'!E37*(1+'Your paths'!$C$20)^INT((B199-1)/12))</f>
        <v>0</v>
      </c>
      <c r="E199" s="33">
        <f>IF(AND(B199='Your paths'!E61,'Your paths'!E36&lt;&gt;"Rent"),'Your paths'!E63,H198)</f>
        <v>313195.431971748</v>
      </c>
      <c r="F199" s="33">
        <f>IF(C199=1,MIN('Your paths'!E64,E199*(1+'Your paths'!E62)),0)</f>
        <v>1859.66912639924</v>
      </c>
      <c r="G199" s="33">
        <f>E199*'Your paths'!E62</f>
        <v>1163.62111914483</v>
      </c>
      <c r="H199" s="33">
        <f>MAX(0,E199+G199-F199)</f>
        <v>312499.383964494</v>
      </c>
      <c r="I199" s="33">
        <f>IF(C199=0,0,IF(AND(B199='Your paths'!E61,'Your paths'!E36&lt;&gt;"Rent"),'Your paths'!E41,I198)*(1+'Your paths'!$C$31)^(1/12))</f>
        <v>445707.360000001</v>
      </c>
      <c r="J199" s="33">
        <f>(D199+F199+IF(C199=1,('Your paths'!E45/12+'Your paths'!E46+'Your paths'!E47)*(1+'Your paths'!$C$21)^INT((B199-1)/12),0))*'Your paths'!$C$32</f>
        <v>2563.25003039924</v>
      </c>
      <c r="K199" s="33">
        <f>('Your paths'!$C$9+'Your paths'!E49)*(1+'Your paths'!$C$24)^INT((B199-1)/12)</f>
        <v>7577.02512</v>
      </c>
      <c r="L199" s="33">
        <f>('Your paths'!$C$10+'Your paths'!E48)*(1+'Your paths'!$C$21)^INT((B199-1)/12)</f>
        <v>2273.107536</v>
      </c>
      <c r="M199" s="33">
        <f>IF('Your paths'!E39="",'Your paths'!$C$12,'Your paths'!E39)+IF(AND('Your paths'!E55="Yes",C199=1,B199&gt;='Your paths'!E57),'Your paths'!E56,0)</f>
        <v>1200</v>
      </c>
      <c r="N199" s="33">
        <f>N198+MAX(0,N198)*((1+'Your paths'!$C$29)^(1/12)-1)+Q199-P199+R199</f>
        <v>53894.7873383154</v>
      </c>
      <c r="O199" s="33">
        <f>(O198-R199)*(1+'Your paths'!$C$30)^(1/12)+M199</f>
        <v>176247.065657739</v>
      </c>
      <c r="P199" s="33">
        <f>IF(AND(B199='Your paths'!E61,'Your paths'!E36&lt;&gt;"Rent"),'Your paths'!E42+'Your paths'!E65+IF('Your paths'!E36="Rent then buy",'Your paths'!E38,0),0)</f>
        <v>0</v>
      </c>
      <c r="Q199" s="33">
        <f>K199-SUM(J199,L199,M199)</f>
        <v>1540.66755360076</v>
      </c>
      <c r="R199" s="33">
        <f>IF(P199&gt;0,MIN(MAX(0,P199-N198),MAX(0,O198)),0)</f>
        <v>0</v>
      </c>
      <c r="S199" s="2">
        <f>IF(P199&gt;0,MAX(0,P199-N198-O198),0)</f>
        <v>0</v>
      </c>
    </row>
    <row r="200" ht="27" customHeight="1">
      <c r="A200" s="3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3" t="n"/>
      <c r="K200" s="3" t="n"/>
      <c r="L200" s="3" t="n"/>
      <c r="M200" s="3" t="n"/>
      <c r="N200" s="3" t="n"/>
      <c r="O200" s="3" t="n"/>
      <c r="P200" s="3" t="n"/>
      <c r="Q200" s="3" t="n"/>
      <c r="R200" s="3" t="n"/>
    </row>
    <row r="201" ht="27" customHeight="1">
      <c r="A201" s="3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3" t="n"/>
      <c r="K201" s="3" t="n"/>
      <c r="L201" s="3" t="n"/>
      <c r="M201" s="3" t="n"/>
      <c r="N201" s="3" t="n"/>
      <c r="O201" s="3" t="n"/>
      <c r="P201" s="3" t="n"/>
      <c r="Q201" s="3" t="n"/>
      <c r="R201" s="3" t="n"/>
    </row>
    <row r="202" ht="27" customHeight="1">
      <c r="A202" s="3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3" t="n"/>
      <c r="K202" s="3" t="n"/>
      <c r="L202" s="3" t="n"/>
      <c r="M202" s="3" t="n"/>
      <c r="N202" s="3" t="n"/>
      <c r="O202" s="3" t="n"/>
      <c r="P202" s="3" t="n"/>
      <c r="Q202" s="3" t="n"/>
      <c r="R202" s="3" t="n"/>
    </row>
    <row r="203" ht="27" customHeight="1">
      <c r="A203" s="3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3" t="n"/>
      <c r="K203" s="3" t="n"/>
      <c r="L203" s="3" t="n"/>
      <c r="M203" s="3" t="n"/>
      <c r="N203" s="3" t="n"/>
      <c r="O203" s="3" t="n"/>
      <c r="P203" s="3" t="n"/>
      <c r="Q203" s="3" t="n"/>
      <c r="R203" s="3" t="n"/>
    </row>
  </sheetData>
  <mergeCells count="5">
    <mergeCell ref="B4:R4"/>
    <mergeCell ref="B2:R2"/>
    <mergeCell ref="B3:R3"/>
    <mergeCell ref="B137:R137"/>
    <mergeCell ref="B71:R71"/>
  </mergeCells>
  <conditionalFormatting sqref="N7:N67">
    <cfRule type="cellIs" priority="1" operator="lessThan" dxfId="4">
      <formula>0</formula>
    </cfRule>
  </conditionalFormatting>
  <conditionalFormatting sqref="N73:N133">
    <cfRule type="cellIs" priority="2" operator="lessThan" dxfId="4">
      <formula>0</formula>
    </cfRule>
  </conditionalFormatting>
  <conditionalFormatting sqref="N139:N199">
    <cfRule type="cellIs" priority="3" operator="lessThan" dxfId="4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tabColor rgb="FF5A5F3A"/>
    <outlinePr summaryBelow="1" summaryRight="1"/>
    <pageSetUpPr/>
  </sheetPr>
  <dimension ref="A1:F36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 ht="27" customHeight="1">
      <c r="A1" s="3" t="n"/>
      <c r="B1" s="3" t="n"/>
      <c r="C1" s="3" t="n"/>
      <c r="D1" s="3" t="n"/>
      <c r="E1" s="3" t="n"/>
      <c r="F1" s="3" t="n"/>
    </row>
    <row r="2" ht="34" customHeight="1">
      <c r="A2" s="3" t="n"/>
      <c r="B2" s="5" t="inlineStr">
        <is>
          <t>A Canadian layer</t>
        </is>
      </c>
    </row>
    <row r="3" ht="22" customHeight="1">
      <c r="A3" s="3" t="n"/>
      <c r="B3" s="6" t="inlineStr">
        <is>
          <t>ROOOFREAD  /  HOUSING, WORTH THINKING ABOUT.</t>
        </is>
      </c>
    </row>
    <row r="4" ht="27" customHeight="1">
      <c r="A4" s="3" t="n"/>
      <c r="B4" s="3" t="n"/>
      <c r="C4" s="3" t="n"/>
      <c r="D4" s="3" t="n"/>
      <c r="E4" s="3" t="n"/>
      <c r="F4" s="3" t="n"/>
    </row>
    <row r="5" ht="44" customHeight="1">
      <c r="A5" s="3" t="n"/>
      <c r="B5" s="7" t="inlineStr">
        <is>
          <t>Rules depend on your province or territory. Check the linked authority before relying on rent, deposit or notice assumptions.</t>
        </is>
      </c>
    </row>
    <row r="6" ht="27" customHeight="1">
      <c r="A6" s="3" t="n"/>
      <c r="B6" s="3" t="n"/>
      <c r="C6" s="3" t="n"/>
      <c r="D6" s="3" t="n"/>
      <c r="E6" s="3" t="n"/>
      <c r="F6" s="3" t="n"/>
    </row>
    <row r="7" ht="27" customHeight="1">
      <c r="A7" s="3" t="n"/>
      <c r="B7" s="3" t="inlineStr">
        <is>
          <t>Province or territory</t>
        </is>
      </c>
      <c r="C7" s="3" t="str">
        <f>'Your paths'!C14</f>
        <v>British Columbia</v>
      </c>
    </row>
    <row r="8" ht="27" customHeight="1">
      <c r="A8" s="3" t="n"/>
      <c r="B8" s="3" t="inlineStr">
        <is>
          <t>Selected official URL (copy)</t>
        </is>
      </c>
      <c r="C8" s="27" t="str">
        <f>INDEX(E12:E24,MATCH(C7,B12:B24,0))</f>
        <v>https://www2.gov.bc.ca/gov/content/housing-tenancy/residential-tenancies</v>
      </c>
    </row>
    <row r="9" ht="27" customHeight="1">
      <c r="A9" s="3" t="n"/>
      <c r="B9" s="3" t="n"/>
    </row>
    <row r="10" ht="27" customHeight="1">
      <c r="A10" s="3" t="n"/>
      <c r="B10" s="3" t="n"/>
      <c r="C10" s="3" t="n"/>
      <c r="D10" s="3" t="n"/>
      <c r="E10" s="3" t="n"/>
      <c r="F10" s="3" t="n"/>
    </row>
    <row r="11" ht="27" customHeight="1">
      <c r="A11" s="3" t="n"/>
      <c r="B11" s="3" t="n"/>
      <c r="C11" s="3" t="n"/>
      <c r="D11" s="3" t="n"/>
      <c r="E11" s="3" t="n"/>
      <c r="F11" s="3" t="n"/>
    </row>
    <row r="12" ht="40" customHeight="1">
      <c r="A12" s="3" t="n"/>
      <c r="B12" s="3" t="inlineStr">
        <is>
          <t>British Columbia</t>
        </is>
      </c>
      <c r="C12" s="28" t="inlineStr">
        <is>
          <t>Open official source</t>
        </is>
      </c>
      <c r="E12" s="25" t="inlineStr">
        <is>
          <t>https://www2.gov.bc.ca/gov/content/housing-tenancy/residential-tenancies</t>
        </is>
      </c>
    </row>
    <row r="13" ht="40" customHeight="1">
      <c r="A13" s="3" t="n"/>
      <c r="B13" s="3" t="inlineStr">
        <is>
          <t>Alberta</t>
        </is>
      </c>
      <c r="C13" s="28" t="inlineStr">
        <is>
          <t>Open official source</t>
        </is>
      </c>
      <c r="E13" s="25" t="inlineStr">
        <is>
          <t>https://www.alberta.ca/residential-tenancies</t>
        </is>
      </c>
    </row>
    <row r="14" ht="40" customHeight="1">
      <c r="A14" s="3" t="n"/>
      <c r="B14" s="3" t="inlineStr">
        <is>
          <t>Saskatchewan</t>
        </is>
      </c>
      <c r="C14" s="28" t="inlineStr">
        <is>
          <t>Open official source</t>
        </is>
      </c>
      <c r="E14" s="25" t="inlineStr">
        <is>
          <t>https://www.saskatchewan.ca/residents/housing-and-renting/renting-and-leasing</t>
        </is>
      </c>
    </row>
    <row r="15" ht="40" customHeight="1">
      <c r="A15" s="3" t="n"/>
      <c r="B15" s="3" t="inlineStr">
        <is>
          <t>Manitoba</t>
        </is>
      </c>
      <c r="C15" s="28" t="inlineStr">
        <is>
          <t>Open official source</t>
        </is>
      </c>
      <c r="E15" s="25" t="inlineStr">
        <is>
          <t>https://www.gov.mb.ca/cca/rtb/</t>
        </is>
      </c>
    </row>
    <row r="16" ht="40" customHeight="1">
      <c r="A16" s="3" t="n"/>
      <c r="B16" s="3" t="inlineStr">
        <is>
          <t>Ontario</t>
        </is>
      </c>
      <c r="C16" s="28" t="inlineStr">
        <is>
          <t>Open official source</t>
        </is>
      </c>
      <c r="E16" s="25" t="inlineStr">
        <is>
          <t>https://tribunalsontario.ca/ltb/</t>
        </is>
      </c>
    </row>
    <row r="17" ht="40" customHeight="1">
      <c r="A17" s="3" t="n"/>
      <c r="B17" s="3" t="inlineStr">
        <is>
          <t>Quebec</t>
        </is>
      </c>
      <c r="C17" s="28" t="inlineStr">
        <is>
          <t>Open official source</t>
        </is>
      </c>
      <c r="E17" s="25" t="inlineStr">
        <is>
          <t>https://www.tal.gouv.qc.ca/en</t>
        </is>
      </c>
    </row>
    <row r="18" ht="40" customHeight="1">
      <c r="A18" s="3" t="n"/>
      <c r="B18" s="3" t="inlineStr">
        <is>
          <t>New Brunswick</t>
        </is>
      </c>
      <c r="C18" s="28" t="inlineStr">
        <is>
          <t>Open official source</t>
        </is>
      </c>
      <c r="E18" s="25" t="inlineStr">
        <is>
          <t>https://www.gnb.ca/en/topic/family-home-community/housing-property/lease.html</t>
        </is>
      </c>
    </row>
    <row r="19" ht="40" customHeight="1">
      <c r="A19" s="3" t="n"/>
      <c r="B19" s="3" t="inlineStr">
        <is>
          <t>Nova Scotia</t>
        </is>
      </c>
      <c r="C19" s="28" t="inlineStr">
        <is>
          <t>Open official source</t>
        </is>
      </c>
      <c r="E19" s="25" t="inlineStr">
        <is>
          <t>https://novascotia.ca/residential-tenancies-tenants-and-landlords/</t>
        </is>
      </c>
    </row>
    <row r="20" ht="40" customHeight="1">
      <c r="A20" s="3" t="n"/>
      <c r="B20" s="3" t="inlineStr">
        <is>
          <t>Prince Edward Island</t>
        </is>
      </c>
      <c r="C20" s="28" t="inlineStr">
        <is>
          <t>Open official source</t>
        </is>
      </c>
      <c r="E20" s="25" t="inlineStr">
        <is>
          <t>https://peirentaloffice.ca/</t>
        </is>
      </c>
    </row>
    <row r="21" ht="40" customHeight="1">
      <c r="A21" s="3" t="n"/>
      <c r="B21" s="3" t="inlineStr">
        <is>
          <t>Newfoundland and Labrador</t>
        </is>
      </c>
      <c r="C21" s="28" t="inlineStr">
        <is>
          <t>Open official source</t>
        </is>
      </c>
      <c r="E21" s="25" t="inlineStr">
        <is>
          <t>https://www.gov.nl.ca/gs/landlord-tenant/</t>
        </is>
      </c>
    </row>
    <row r="22" ht="40" customHeight="1">
      <c r="A22" s="3" t="n"/>
      <c r="B22" s="3" t="inlineStr">
        <is>
          <t>Yukon</t>
        </is>
      </c>
      <c r="C22" s="28" t="inlineStr">
        <is>
          <t>Open official source</t>
        </is>
      </c>
      <c r="E22" s="25" t="inlineStr">
        <is>
          <t>https://yukon.ca/en/places/residential-tenancies-office-location-and-hours</t>
        </is>
      </c>
    </row>
    <row r="23" ht="40" customHeight="1">
      <c r="A23" s="3" t="n"/>
      <c r="B23" s="3" t="inlineStr">
        <is>
          <t>Northwest Territories</t>
        </is>
      </c>
      <c r="C23" s="28" t="inlineStr">
        <is>
          <t>Open official source</t>
        </is>
      </c>
      <c r="E23" s="25" t="inlineStr">
        <is>
          <t>https://www.justice.gov.nt.ca/en/boards-agencies/rental-office/</t>
        </is>
      </c>
    </row>
    <row r="24" ht="40" customHeight="1">
      <c r="A24" s="3" t="n"/>
      <c r="B24" s="3" t="inlineStr">
        <is>
          <t>Nunavut</t>
        </is>
      </c>
      <c r="C24" s="28" t="inlineStr">
        <is>
          <t>Open official source</t>
        </is>
      </c>
      <c r="E24" s="25" t="inlineStr">
        <is>
          <t>https://www.nunavutlegislation.ca/en/consolidated-law/residential-tenancies-act-official-consolidation</t>
        </is>
      </c>
    </row>
    <row r="25" ht="27" customHeight="1">
      <c r="A25" s="3" t="n"/>
      <c r="B25" s="3" t="n"/>
      <c r="C25" s="3" t="n"/>
      <c r="D25" s="3" t="n"/>
      <c r="E25" s="3" t="n"/>
      <c r="F25" s="3" t="n"/>
    </row>
    <row r="26" ht="25" customHeight="1">
      <c r="A26" s="3" t="n"/>
      <c r="B26" s="12" t="inlineStr">
        <is>
          <t>WHAT WE ARE ASSUMING</t>
        </is>
      </c>
    </row>
    <row r="27" ht="44" customHeight="1">
      <c r="A27" s="3" t="n"/>
      <c r="B27" s="7" t="inlineStr">
        <is>
          <t>All amounts are Canadian dollars. Examples are fictional. These sheets compare the inputs you supply and do not determine mortgage, tax or tenancy eligibility.</t>
        </is>
      </c>
    </row>
    <row r="28" ht="27" customHeight="1">
      <c r="A28" s="3" t="n"/>
      <c r="B28" s="3" t="n"/>
      <c r="C28" s="3" t="n"/>
      <c r="D28" s="3" t="n"/>
      <c r="E28" s="3" t="n"/>
      <c r="F28" s="3" t="n"/>
    </row>
    <row r="29" ht="27" customHeight="1">
      <c r="A29" s="3" t="n"/>
      <c r="B29" s="3" t="inlineStr">
        <is>
          <t>FCAC: closing costs</t>
        </is>
      </c>
      <c r="C29" s="3" t="inlineStr">
        <is>
          <t>Read the official guidance</t>
        </is>
      </c>
    </row>
    <row r="30" ht="27" customHeight="1">
      <c r="A30" s="3" t="n"/>
      <c r="B30" s="3" t="inlineStr">
        <is>
          <t>CRA: Home Buyers’ Plan</t>
        </is>
      </c>
      <c r="C30" s="3" t="inlineStr">
        <is>
          <t>Read the official guidance</t>
        </is>
      </c>
    </row>
    <row r="31" ht="27" customHeight="1">
      <c r="A31" s="3" t="n"/>
      <c r="B31" s="3" t="inlineStr">
        <is>
          <t>CRA: FHSA</t>
        </is>
      </c>
      <c r="C31" s="3" t="inlineStr">
        <is>
          <t>Read the official guidance</t>
        </is>
      </c>
    </row>
    <row r="32" ht="27" customHeight="1">
      <c r="A32" s="3" t="n"/>
      <c r="B32" s="3" t="inlineStr">
        <is>
          <t>CMHC: rent increases</t>
        </is>
      </c>
      <c r="C32" s="3" t="inlineStr">
        <is>
          <t>Read the official guidance</t>
        </is>
      </c>
    </row>
    <row r="33" ht="27" customHeight="1">
      <c r="A33" s="3" t="n"/>
      <c r="B33" s="3" t="n"/>
      <c r="C33" s="3" t="n"/>
      <c r="D33" s="3" t="n"/>
      <c r="E33" s="3" t="n"/>
      <c r="F33" s="3" t="n"/>
    </row>
    <row r="34" ht="38" customHeight="1">
      <c r="A34" s="3" t="n"/>
      <c r="B34" s="7" t="inlineStr">
        <is>
          <t>Sources checked September 24, 2026. Local links identify the responsible authority; no provincial limit is assumed.</t>
        </is>
      </c>
    </row>
    <row r="35" ht="27" customHeight="1">
      <c r="A35" s="3" t="n"/>
      <c r="B35" s="3" t="n"/>
      <c r="C35" s="3" t="n"/>
      <c r="D35" s="3" t="n"/>
      <c r="E35" s="3" t="n"/>
      <c r="F35" s="3" t="n"/>
    </row>
    <row r="36" ht="27" customHeight="1">
      <c r="A36" s="3" t="n"/>
      <c r="B36" s="3" t="n"/>
      <c r="C36" s="3" t="n"/>
      <c r="D36" s="3" t="n"/>
      <c r="E36" s="3" t="n"/>
      <c r="F36" s="3" t="n"/>
    </row>
  </sheetData>
  <mergeCells count="38">
    <mergeCell ref="E12:F12"/>
    <mergeCell ref="C24:D24"/>
    <mergeCell ref="E24:F24"/>
    <mergeCell ref="C15:D15"/>
    <mergeCell ref="B3:F3"/>
    <mergeCell ref="C7:F7"/>
    <mergeCell ref="C14:D14"/>
    <mergeCell ref="E23:F23"/>
    <mergeCell ref="E14:F14"/>
    <mergeCell ref="C32:F32"/>
    <mergeCell ref="E17:F17"/>
    <mergeCell ref="B27:F27"/>
    <mergeCell ref="C20:D20"/>
    <mergeCell ref="E20:F20"/>
    <mergeCell ref="C16:D16"/>
    <mergeCell ref="B2:F2"/>
    <mergeCell ref="E19:F19"/>
    <mergeCell ref="C30:F30"/>
    <mergeCell ref="E13:F13"/>
    <mergeCell ref="C22:D22"/>
    <mergeCell ref="C12:D12"/>
    <mergeCell ref="C21:D21"/>
    <mergeCell ref="E15:F15"/>
    <mergeCell ref="B34:F34"/>
    <mergeCell ref="C8:F9"/>
    <mergeCell ref="C29:F29"/>
    <mergeCell ref="C17:D17"/>
    <mergeCell ref="C23:D23"/>
    <mergeCell ref="C31:F31"/>
    <mergeCell ref="E16:F16"/>
    <mergeCell ref="C19:D19"/>
    <mergeCell ref="B5:F5"/>
    <mergeCell ref="E22:F22"/>
    <mergeCell ref="C13:D13"/>
    <mergeCell ref="C18:D18"/>
    <mergeCell ref="E18:F18"/>
    <mergeCell ref="B26:F26"/>
    <mergeCell ref="E21:F21"/>
  </mergeCells>
  <hyperlinks>
    <hyperlink xmlns:r="http://schemas.openxmlformats.org/officeDocument/2006/relationships" ref="C12" r:id="rId1"/>
    <hyperlink xmlns:r="http://schemas.openxmlformats.org/officeDocument/2006/relationships" ref="C13" r:id="rId2"/>
    <hyperlink xmlns:r="http://schemas.openxmlformats.org/officeDocument/2006/relationships" ref="C14" r:id="rId3"/>
    <hyperlink xmlns:r="http://schemas.openxmlformats.org/officeDocument/2006/relationships" ref="C15" r:id="rId4"/>
    <hyperlink xmlns:r="http://schemas.openxmlformats.org/officeDocument/2006/relationships" ref="C16" r:id="rId5"/>
    <hyperlink xmlns:r="http://schemas.openxmlformats.org/officeDocument/2006/relationships" ref="C17" r:id="rId6"/>
    <hyperlink xmlns:r="http://schemas.openxmlformats.org/officeDocument/2006/relationships" ref="C18" r:id="rId7"/>
    <hyperlink xmlns:r="http://schemas.openxmlformats.org/officeDocument/2006/relationships" ref="C19" r:id="rId8"/>
    <hyperlink xmlns:r="http://schemas.openxmlformats.org/officeDocument/2006/relationships" ref="C20" r:id="rId9"/>
    <hyperlink xmlns:r="http://schemas.openxmlformats.org/officeDocument/2006/relationships" ref="C21" r:id="rId10"/>
    <hyperlink xmlns:r="http://schemas.openxmlformats.org/officeDocument/2006/relationships" ref="C22" r:id="rId11"/>
    <hyperlink xmlns:r="http://schemas.openxmlformats.org/officeDocument/2006/relationships" ref="C23" r:id="rId12"/>
    <hyperlink xmlns:r="http://schemas.openxmlformats.org/officeDocument/2006/relationships" ref="C24" r:id="rId13"/>
    <hyperlink xmlns:r="http://schemas.openxmlformats.org/officeDocument/2006/relationships" ref="C29" r:id="rId14"/>
    <hyperlink xmlns:r="http://schemas.openxmlformats.org/officeDocument/2006/relationships" ref="C30" r:id="rId15"/>
    <hyperlink xmlns:r="http://schemas.openxmlformats.org/officeDocument/2006/relationships" ref="C31" r:id="rId16"/>
    <hyperlink xmlns:r="http://schemas.openxmlformats.org/officeDocument/2006/relationships" ref="C32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2026-09-25T03:31:26Z</dcterms:created>
  <dcterms:modified xmlns:dcterms="http://purl.org/dc/terms/" xmlns:xsi="http://www.w3.org/2001/XMLSchema-instance" xsi:type="dcterms:W3CDTF">2026-09-25T03:31:26Z</dcterms:modified>
</cp:coreProperties>
</file>